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ESTADOS FINANCIEROS\"/>
    </mc:Choice>
  </mc:AlternateContent>
  <xr:revisionPtr revIDLastSave="0" documentId="13_ncr:1_{F1882CFB-C38D-4478-922A-4D1B1B1292F9}" xr6:coauthVersionLast="47" xr6:coauthVersionMax="47" xr10:uidLastSave="{00000000-0000-0000-0000-000000000000}"/>
  <bookViews>
    <workbookView xWindow="-120" yWindow="-120" windowWidth="20730" windowHeight="11160" tabRatio="466" xr2:uid="{00000000-000D-0000-FFFF-FFFF00000000}"/>
  </bookViews>
  <sheets>
    <sheet name="BALANCE" sheetId="81" r:id="rId1"/>
    <sheet name="PPTO RESULTADOS" sheetId="18" r:id="rId2"/>
    <sheet name="RESULTADOS PARQUES" sheetId="52" r:id="rId3"/>
    <sheet name="VARIACIONES EGRESOS" sheetId="186" r:id="rId4"/>
    <sheet name="GRAFICAS" sheetId="148" r:id="rId5"/>
    <sheet name="INGRESOS" sheetId="51" r:id="rId6"/>
    <sheet name="EGRESOS" sheetId="82" r:id="rId7"/>
    <sheet name="CTAS BALANCE" sheetId="28" r:id="rId8"/>
    <sheet name="BALANZA" sheetId="481" r:id="rId9"/>
    <sheet name="PRESUP ORIGINAL" sheetId="307" r:id="rId10"/>
    <sheet name="notas" sheetId="247" r:id="rId11"/>
    <sheet name="EA" sheetId="227" r:id="rId12"/>
    <sheet name="1 ea sif" sheetId="406" r:id="rId13"/>
    <sheet name="ESF" sheetId="228" r:id="rId14"/>
    <sheet name="2 esf sif" sheetId="407" r:id="rId15"/>
    <sheet name="ESF det" sheetId="292" r:id="rId16"/>
    <sheet name="36 esfd sif" sheetId="426" r:id="rId17"/>
    <sheet name="ECSF" sheetId="229" r:id="rId18"/>
    <sheet name="4 ecsf sif" sheetId="409" r:id="rId19"/>
    <sheet name="EAA" sheetId="230" r:id="rId20"/>
    <sheet name="10 eaa sif" sheetId="411" r:id="rId21"/>
    <sheet name="EADP" sheetId="231" r:id="rId22"/>
    <sheet name="11 ead sif" sheetId="412" r:id="rId23"/>
    <sheet name="EVHP" sheetId="232" r:id="rId24"/>
    <sheet name="3 evhp sif" sheetId="408" r:id="rId25"/>
    <sheet name="EFE" sheetId="233" r:id="rId26"/>
    <sheet name="5 efe sif" sheetId="410" r:id="rId27"/>
    <sheet name="EAI" sheetId="234" r:id="rId28"/>
    <sheet name="13 ri sif" sheetId="413" r:id="rId29"/>
    <sheet name="14 ff sif" sheetId="414" r:id="rId30"/>
    <sheet name="15 ce sif" sheetId="415" r:id="rId31"/>
    <sheet name="40 eaid sif" sheetId="428" r:id="rId32"/>
    <sheet name="COG" sheetId="237" r:id="rId33"/>
    <sheet name="20 cog sif" sheetId="419" r:id="rId34"/>
    <sheet name="41 cogd sif" sheetId="429" r:id="rId35"/>
    <sheet name="44 sp sif" sheetId="432" r:id="rId36"/>
    <sheet name="CAdmon" sheetId="235" r:id="rId37"/>
    <sheet name="16 ca sif" sheetId="416" r:id="rId38"/>
    <sheet name="18 casp sif" sheetId="417" r:id="rId39"/>
    <sheet name="42 cad sif" sheetId="430" r:id="rId40"/>
    <sheet name="CTG" sheetId="236" r:id="rId41"/>
    <sheet name="19 tg sif" sheetId="418" r:id="rId42"/>
    <sheet name="CFG" sheetId="238" r:id="rId43"/>
    <sheet name="21 cf sif " sheetId="420" r:id="rId44"/>
    <sheet name="43 cfd sif" sheetId="431" r:id="rId45"/>
    <sheet name="CProg" sheetId="241" r:id="rId46"/>
    <sheet name="25 cprog sif" sheetId="425" r:id="rId47"/>
    <sheet name="End Neto" sheetId="239" r:id="rId48"/>
    <sheet name="22 en sif" sheetId="421" r:id="rId49"/>
    <sheet name="Int" sheetId="423" r:id="rId50"/>
    <sheet name="Post Fiscal" sheetId="242" r:id="rId51"/>
    <sheet name="39 bp sif" sheetId="427" r:id="rId52"/>
    <sheet name="24 ffon sif" sheetId="424" r:id="rId53"/>
    <sheet name="Rel Cta Banc" sheetId="245" r:id="rId54"/>
    <sheet name="CARTERA" sheetId="483" r:id="rId55"/>
    <sheet name="TERRENOS" sheetId="482" r:id="rId56"/>
    <sheet name="INDICADORES" sheetId="211" r:id="rId57"/>
    <sheet name="FLUJO S.H." sheetId="328" r:id="rId58"/>
    <sheet name="RptEAA" sheetId="311" r:id="rId59"/>
  </sheets>
  <externalReferences>
    <externalReference r:id="rId60"/>
  </externalReferences>
  <definedNames>
    <definedName name="_xlnm.Print_Area" localSheetId="12">'1 ea sif'!$B$1:$F$73</definedName>
    <definedName name="_xlnm.Print_Area" localSheetId="20">'10 eaa sif'!$A$1:$H$39</definedName>
    <definedName name="_xlnm.Print_Area" localSheetId="22">'11 ead sif'!$B$1:$F$44</definedName>
    <definedName name="_xlnm.Print_Area" localSheetId="14">'2 esf sif'!$B$1:$H$59</definedName>
    <definedName name="_xlnm.Print_Area" localSheetId="24">'3 evhp sif'!$B$1:$G$47</definedName>
    <definedName name="_xlnm.Print_Area" localSheetId="18">'4 ecsf sif'!$A$1:$E$68</definedName>
    <definedName name="_xlnm.Print_Area" localSheetId="26">'5 efe sif'!$B$1:$D$74</definedName>
    <definedName name="_xlnm.Print_Area" localSheetId="0">BALANCE!$A$1:$E$47</definedName>
    <definedName name="_xlnm.Print_Area" localSheetId="32">COG!$B$1:$I$32</definedName>
    <definedName name="_xlnm.Print_Area" localSheetId="7">'CTAS BALANCE'!$A$1:$D$59</definedName>
    <definedName name="_xlnm.Print_Area" localSheetId="11">EA!$A$1:$K$61</definedName>
    <definedName name="_xlnm.Print_Area" localSheetId="19">EAA!$A$1:$I$42</definedName>
    <definedName name="_xlnm.Print_Area" localSheetId="21">EADP!$A$1:$J$53</definedName>
    <definedName name="_xlnm.Print_Area" localSheetId="27">EAI!$A$1:$J$65</definedName>
    <definedName name="_xlnm.Print_Area" localSheetId="17">ECSF!$A$1:$K$63</definedName>
    <definedName name="_xlnm.Print_Area" localSheetId="25">EFE!$A$1:$Q$57</definedName>
    <definedName name="_xlnm.Print_Area" localSheetId="6">EGRESOS!$A$1:$C$65</definedName>
    <definedName name="_xlnm.Print_Area" localSheetId="13">ESF!$A$1:$L$54</definedName>
    <definedName name="_xlnm.Print_Area" localSheetId="15">'ESF det'!$A$1:$L$101</definedName>
    <definedName name="_xlnm.Print_Area" localSheetId="23">EVHP!$A$1:$I$58</definedName>
    <definedName name="_xlnm.Print_Area" localSheetId="57">'FLUJO S.H.'!$A$1:$E$79</definedName>
    <definedName name="_xlnm.Print_Area" localSheetId="4">GRAFICAS!$A$1:$C$59</definedName>
    <definedName name="_xlnm.Print_Area" localSheetId="56">INDICADORES!$A$3:$H$57</definedName>
    <definedName name="_xlnm.Print_Area" localSheetId="5">INGRESOS!$A$1:$C$66</definedName>
    <definedName name="_xlnm.Print_Area" localSheetId="1">'PPTO RESULTADOS'!$A$1:$D$30</definedName>
    <definedName name="_xlnm.Print_Area" localSheetId="9">'PRESUP ORIGINAL'!$A$1:$Q$186</definedName>
    <definedName name="_xlnm.Print_Area" localSheetId="2">'RESULTADOS PARQUES'!$A$4:$L$49</definedName>
    <definedName name="_xlnm.Print_Area" localSheetId="3">'VARIACIONES EGRESOS'!$A$1:$S$206</definedName>
    <definedName name="_xlnm.Print_Titles" localSheetId="7">'CTAS BALANCE'!$1:$6</definedName>
    <definedName name="_xlnm.Print_Titles" localSheetId="6">EGRESOS!$7:$7</definedName>
    <definedName name="_xlnm.Print_Titles" localSheetId="57">'FLUJO S.H.'!$1:$10</definedName>
    <definedName name="_xlnm.Print_Titles" localSheetId="56">INDICADORES!$8:$8</definedName>
    <definedName name="_xlnm.Print_Titles" localSheetId="5">INGRESOS!#REF!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21" l="1"/>
  <c r="C21" i="421"/>
  <c r="C20" i="421"/>
  <c r="C19" i="421"/>
  <c r="G2780" i="483" l="1"/>
  <c r="F2780" i="483"/>
  <c r="G2778" i="483"/>
  <c r="G2209" i="483"/>
  <c r="G2117" i="483"/>
  <c r="G2058" i="483"/>
  <c r="N1772" i="483"/>
  <c r="N1782" i="483" s="1"/>
  <c r="O1785" i="483" s="1"/>
  <c r="Y395" i="482"/>
  <c r="U395" i="482"/>
  <c r="T395" i="482"/>
  <c r="S395" i="482"/>
  <c r="N395" i="482"/>
  <c r="D395" i="482"/>
  <c r="X394" i="482"/>
  <c r="X395" i="482" s="1"/>
  <c r="V394" i="482"/>
  <c r="V395" i="482" s="1"/>
  <c r="R394" i="482"/>
  <c r="Q394" i="482"/>
  <c r="P394" i="482"/>
  <c r="N394" i="482"/>
  <c r="M394" i="482"/>
  <c r="M395" i="482" s="1"/>
  <c r="L394" i="482"/>
  <c r="L395" i="482" s="1"/>
  <c r="W393" i="482"/>
  <c r="W391" i="482"/>
  <c r="O391" i="482"/>
  <c r="W390" i="482"/>
  <c r="O390" i="482"/>
  <c r="W389" i="482"/>
  <c r="O389" i="482"/>
  <c r="W388" i="482"/>
  <c r="O388" i="482"/>
  <c r="AG387" i="482"/>
  <c r="AH387" i="482" s="1"/>
  <c r="W387" i="482"/>
  <c r="O387" i="482"/>
  <c r="AH385" i="482"/>
  <c r="AG388" i="482" s="1"/>
  <c r="AH388" i="482" s="1"/>
  <c r="Y381" i="482"/>
  <c r="U381" i="482"/>
  <c r="T381" i="482"/>
  <c r="S381" i="482"/>
  <c r="N381" i="482"/>
  <c r="D381" i="482"/>
  <c r="X380" i="482"/>
  <c r="X381" i="482" s="1"/>
  <c r="V380" i="482"/>
  <c r="V381" i="482" s="1"/>
  <c r="R380" i="482"/>
  <c r="Q380" i="482"/>
  <c r="P380" i="482"/>
  <c r="N380" i="482"/>
  <c r="M380" i="482"/>
  <c r="M381" i="482" s="1"/>
  <c r="L380" i="482"/>
  <c r="L381" i="482" s="1"/>
  <c r="W379" i="482"/>
  <c r="W378" i="482"/>
  <c r="W377" i="482"/>
  <c r="O377" i="482"/>
  <c r="W376" i="482"/>
  <c r="O376" i="482"/>
  <c r="AG375" i="482"/>
  <c r="AH375" i="482" s="1"/>
  <c r="W375" i="482"/>
  <c r="O375" i="482"/>
  <c r="W374" i="482"/>
  <c r="O374" i="482"/>
  <c r="AG373" i="482"/>
  <c r="AH373" i="482" s="1"/>
  <c r="W373" i="482"/>
  <c r="O373" i="482"/>
  <c r="AH371" i="482"/>
  <c r="AG374" i="482" s="1"/>
  <c r="AH374" i="482" s="1"/>
  <c r="Q366" i="482"/>
  <c r="X365" i="482"/>
  <c r="V365" i="482"/>
  <c r="U365" i="482"/>
  <c r="T365" i="482"/>
  <c r="S365" i="482"/>
  <c r="R365" i="482"/>
  <c r="Q365" i="482"/>
  <c r="P365" i="482"/>
  <c r="M365" i="482"/>
  <c r="M366" i="482" s="1"/>
  <c r="Y359" i="482"/>
  <c r="Y365" i="482" s="1"/>
  <c r="W359" i="482"/>
  <c r="W365" i="482" s="1"/>
  <c r="O359" i="482"/>
  <c r="AH357" i="482" s="1"/>
  <c r="N359" i="482"/>
  <c r="N365" i="482" s="1"/>
  <c r="Y354" i="482"/>
  <c r="Y366" i="482" s="1"/>
  <c r="X354" i="482"/>
  <c r="V354" i="482"/>
  <c r="U354" i="482"/>
  <c r="U366" i="482" s="1"/>
  <c r="T354" i="482"/>
  <c r="S354" i="482"/>
  <c r="Q354" i="482"/>
  <c r="P354" i="482"/>
  <c r="O354" i="482"/>
  <c r="N354" i="482"/>
  <c r="N366" i="482" s="1"/>
  <c r="AE353" i="482"/>
  <c r="W353" i="482"/>
  <c r="R353" i="482"/>
  <c r="R354" i="482" s="1"/>
  <c r="R366" i="482" s="1"/>
  <c r="L353" i="482"/>
  <c r="L365" i="482" s="1"/>
  <c r="L366" i="482" s="1"/>
  <c r="W352" i="482"/>
  <c r="W351" i="482"/>
  <c r="W349" i="482"/>
  <c r="W348" i="482"/>
  <c r="W347" i="482"/>
  <c r="AH346" i="482"/>
  <c r="W346" i="482"/>
  <c r="W345" i="482"/>
  <c r="AG344" i="482"/>
  <c r="AH344" i="482" s="1"/>
  <c r="W344" i="482"/>
  <c r="AH342" i="482"/>
  <c r="AG346" i="482" s="1"/>
  <c r="W337" i="482"/>
  <c r="U337" i="482"/>
  <c r="T337" i="482"/>
  <c r="S337" i="482"/>
  <c r="M337" i="482"/>
  <c r="Y336" i="482"/>
  <c r="Y337" i="482" s="1"/>
  <c r="X336" i="482"/>
  <c r="X337" i="482" s="1"/>
  <c r="W336" i="482"/>
  <c r="V336" i="482"/>
  <c r="V337" i="482" s="1"/>
  <c r="R336" i="482"/>
  <c r="Q336" i="482"/>
  <c r="P336" i="482"/>
  <c r="O336" i="482"/>
  <c r="O337" i="482" s="1"/>
  <c r="N336" i="482"/>
  <c r="N337" i="482" s="1"/>
  <c r="M336" i="482"/>
  <c r="L336" i="482"/>
  <c r="L337" i="482" s="1"/>
  <c r="S335" i="482"/>
  <c r="AD328" i="482"/>
  <c r="AC328" i="482"/>
  <c r="AB328" i="482"/>
  <c r="AA328" i="482"/>
  <c r="Z328" i="482"/>
  <c r="X328" i="482"/>
  <c r="U328" i="482"/>
  <c r="T328" i="482"/>
  <c r="S328" i="482"/>
  <c r="Y327" i="482"/>
  <c r="Y328" i="482" s="1"/>
  <c r="X327" i="482"/>
  <c r="V327" i="482"/>
  <c r="V328" i="482" s="1"/>
  <c r="P327" i="482"/>
  <c r="N327" i="482"/>
  <c r="N328" i="482" s="1"/>
  <c r="M327" i="482"/>
  <c r="M328" i="482" s="1"/>
  <c r="L327" i="482"/>
  <c r="L328" i="482" s="1"/>
  <c r="R326" i="482"/>
  <c r="R327" i="482" s="1"/>
  <c r="Q326" i="482"/>
  <c r="O326" i="482"/>
  <c r="O327" i="482" s="1"/>
  <c r="O328" i="482" s="1"/>
  <c r="U319" i="482"/>
  <c r="T319" i="482"/>
  <c r="S319" i="482"/>
  <c r="Y318" i="482"/>
  <c r="Y319" i="482" s="1"/>
  <c r="X318" i="482"/>
  <c r="X319" i="482" s="1"/>
  <c r="V318" i="482"/>
  <c r="V319" i="482" s="1"/>
  <c r="R318" i="482"/>
  <c r="P318" i="482"/>
  <c r="N318" i="482"/>
  <c r="N319" i="482" s="1"/>
  <c r="M318" i="482"/>
  <c r="M319" i="482" s="1"/>
  <c r="L318" i="482"/>
  <c r="L319" i="482" s="1"/>
  <c r="R317" i="482"/>
  <c r="W317" i="482" s="1"/>
  <c r="Q317" i="482"/>
  <c r="S317" i="482" s="1"/>
  <c r="O317" i="482"/>
  <c r="W316" i="482"/>
  <c r="R316" i="482"/>
  <c r="Q316" i="482"/>
  <c r="O316" i="482"/>
  <c r="O318" i="482" s="1"/>
  <c r="O319" i="482" s="1"/>
  <c r="L309" i="482"/>
  <c r="Y308" i="482"/>
  <c r="Y309" i="482" s="1"/>
  <c r="X308" i="482"/>
  <c r="X309" i="482" s="1"/>
  <c r="V308" i="482"/>
  <c r="V309" i="482" s="1"/>
  <c r="U308" i="482"/>
  <c r="U309" i="482" s="1"/>
  <c r="T308" i="482"/>
  <c r="T309" i="482" s="1"/>
  <c r="P308" i="482"/>
  <c r="N308" i="482"/>
  <c r="N309" i="482" s="1"/>
  <c r="M308" i="482"/>
  <c r="M309" i="482" s="1"/>
  <c r="L308" i="482"/>
  <c r="W306" i="482"/>
  <c r="O306" i="482"/>
  <c r="R305" i="482"/>
  <c r="W305" i="482" s="1"/>
  <c r="W308" i="482" s="1"/>
  <c r="W309" i="482" s="1"/>
  <c r="Q305" i="482"/>
  <c r="O305" i="482"/>
  <c r="O308" i="482" s="1"/>
  <c r="O309" i="482" s="1"/>
  <c r="Y294" i="482"/>
  <c r="X294" i="482"/>
  <c r="V294" i="482"/>
  <c r="U294" i="482"/>
  <c r="T294" i="482"/>
  <c r="S294" i="482"/>
  <c r="R294" i="482"/>
  <c r="Q294" i="482"/>
  <c r="P294" i="482"/>
  <c r="O294" i="482"/>
  <c r="M294" i="482"/>
  <c r="M295" i="482" s="1"/>
  <c r="L294" i="482"/>
  <c r="L295" i="482" s="1"/>
  <c r="W285" i="482"/>
  <c r="W294" i="482" s="1"/>
  <c r="N285" i="482"/>
  <c r="N294" i="482" s="1"/>
  <c r="Y281" i="482"/>
  <c r="X281" i="482"/>
  <c r="V281" i="482"/>
  <c r="V295" i="482" s="1"/>
  <c r="U281" i="482"/>
  <c r="T281" i="482"/>
  <c r="Q281" i="482"/>
  <c r="Q295" i="482" s="1"/>
  <c r="P281" i="482"/>
  <c r="P295" i="482" s="1"/>
  <c r="O281" i="482"/>
  <c r="O295" i="482" s="1"/>
  <c r="W278" i="482"/>
  <c r="N278" i="482"/>
  <c r="W276" i="482"/>
  <c r="N276" i="482"/>
  <c r="AF276" i="482" s="1"/>
  <c r="W275" i="482"/>
  <c r="N275" i="482"/>
  <c r="AF275" i="482" s="1"/>
  <c r="W274" i="482"/>
  <c r="N274" i="482"/>
  <c r="AF274" i="482" s="1"/>
  <c r="W273" i="482"/>
  <c r="N273" i="482"/>
  <c r="AF273" i="482" s="1"/>
  <c r="W272" i="482"/>
  <c r="N272" i="482"/>
  <c r="AF272" i="482" s="1"/>
  <c r="W271" i="482"/>
  <c r="N271" i="482"/>
  <c r="AF271" i="482" s="1"/>
  <c r="W270" i="482"/>
  <c r="N270" i="482"/>
  <c r="AF270" i="482" s="1"/>
  <c r="W269" i="482"/>
  <c r="N269" i="482"/>
  <c r="AF269" i="482" s="1"/>
  <c r="W268" i="482"/>
  <c r="N268" i="482"/>
  <c r="AF268" i="482" s="1"/>
  <c r="W267" i="482"/>
  <c r="N267" i="482"/>
  <c r="AF267" i="482" s="1"/>
  <c r="AF266" i="482"/>
  <c r="W266" i="482"/>
  <c r="N266" i="482"/>
  <c r="W265" i="482"/>
  <c r="N265" i="482"/>
  <c r="AF265" i="482" s="1"/>
  <c r="W264" i="482"/>
  <c r="N264" i="482"/>
  <c r="AF264" i="482" s="1"/>
  <c r="AF263" i="482"/>
  <c r="W263" i="482"/>
  <c r="AF262" i="482"/>
  <c r="W262" i="482"/>
  <c r="W261" i="482"/>
  <c r="N261" i="482"/>
  <c r="AF261" i="482" s="1"/>
  <c r="W260" i="482"/>
  <c r="N260" i="482"/>
  <c r="AF260" i="482" s="1"/>
  <c r="AF259" i="482"/>
  <c r="W259" i="482"/>
  <c r="AF258" i="482"/>
  <c r="W258" i="482"/>
  <c r="W257" i="482"/>
  <c r="N257" i="482"/>
  <c r="AF257" i="482" s="1"/>
  <c r="W256" i="482"/>
  <c r="N256" i="482"/>
  <c r="AF256" i="482" s="1"/>
  <c r="W255" i="482"/>
  <c r="N255" i="482"/>
  <c r="AF255" i="482" s="1"/>
  <c r="AF254" i="482"/>
  <c r="W254" i="482"/>
  <c r="AF253" i="482"/>
  <c r="W253" i="482"/>
  <c r="AF252" i="482"/>
  <c r="W252" i="482"/>
  <c r="N252" i="482"/>
  <c r="AF251" i="482"/>
  <c r="W251" i="482"/>
  <c r="W250" i="482"/>
  <c r="N250" i="482"/>
  <c r="AF250" i="482" s="1"/>
  <c r="AF249" i="482"/>
  <c r="W248" i="482"/>
  <c r="N248" i="482"/>
  <c r="AF248" i="482" s="1"/>
  <c r="W247" i="482"/>
  <c r="N247" i="482"/>
  <c r="AF247" i="482" s="1"/>
  <c r="AF246" i="482"/>
  <c r="W246" i="482"/>
  <c r="N246" i="482"/>
  <c r="AF245" i="482"/>
  <c r="W245" i="482"/>
  <c r="W244" i="482"/>
  <c r="N244" i="482"/>
  <c r="AF244" i="482" s="1"/>
  <c r="AF243" i="482"/>
  <c r="W243" i="482"/>
  <c r="AF242" i="482"/>
  <c r="W242" i="482"/>
  <c r="W241" i="482"/>
  <c r="N241" i="482"/>
  <c r="R240" i="482"/>
  <c r="N240" i="482"/>
  <c r="R239" i="482"/>
  <c r="N239" i="482"/>
  <c r="AH234" i="482"/>
  <c r="X230" i="482"/>
  <c r="T230" i="482"/>
  <c r="Y229" i="482"/>
  <c r="Y230" i="482" s="1"/>
  <c r="X229" i="482"/>
  <c r="V229" i="482"/>
  <c r="V230" i="482" s="1"/>
  <c r="U229" i="482"/>
  <c r="U230" i="482" s="1"/>
  <c r="T229" i="482"/>
  <c r="R229" i="482"/>
  <c r="Q229" i="482"/>
  <c r="P229" i="482"/>
  <c r="N229" i="482"/>
  <c r="N230" i="482" s="1"/>
  <c r="M229" i="482"/>
  <c r="M230" i="482" s="1"/>
  <c r="L229" i="482"/>
  <c r="L230" i="482" s="1"/>
  <c r="W223" i="482"/>
  <c r="W229" i="482" s="1"/>
  <c r="W230" i="482" s="1"/>
  <c r="S223" i="482"/>
  <c r="S229" i="482" s="1"/>
  <c r="O223" i="482"/>
  <c r="O229" i="482" s="1"/>
  <c r="O230" i="482" s="1"/>
  <c r="Y216" i="482"/>
  <c r="Y217" i="482" s="1"/>
  <c r="U216" i="482"/>
  <c r="T216" i="482"/>
  <c r="P216" i="482"/>
  <c r="L216" i="482"/>
  <c r="L217" i="482" s="1"/>
  <c r="R214" i="482"/>
  <c r="X214" i="482" s="1"/>
  <c r="Q214" i="482"/>
  <c r="S214" i="482" s="1"/>
  <c r="N214" i="482"/>
  <c r="AE214" i="482" s="1"/>
  <c r="X213" i="482"/>
  <c r="R213" i="482"/>
  <c r="N213" i="482"/>
  <c r="AE213" i="482" s="1"/>
  <c r="R212" i="482"/>
  <c r="X212" i="482" s="1"/>
  <c r="Q212" i="482"/>
  <c r="Q216" i="482" s="1"/>
  <c r="N212" i="482"/>
  <c r="AE212" i="482" s="1"/>
  <c r="R211" i="482"/>
  <c r="V211" i="482" s="1"/>
  <c r="N211" i="482"/>
  <c r="AE211" i="482" s="1"/>
  <c r="M210" i="482"/>
  <c r="M216" i="482" s="1"/>
  <c r="M217" i="482" s="1"/>
  <c r="R209" i="482"/>
  <c r="L209" i="482"/>
  <c r="O209" i="482" s="1"/>
  <c r="AD201" i="482"/>
  <c r="AC201" i="482"/>
  <c r="AB201" i="482"/>
  <c r="AA201" i="482"/>
  <c r="Z201" i="482"/>
  <c r="U201" i="482"/>
  <c r="T201" i="482"/>
  <c r="Y200" i="482"/>
  <c r="X200" i="482"/>
  <c r="P200" i="482"/>
  <c r="N200" i="482"/>
  <c r="V199" i="482"/>
  <c r="V200" i="482" s="1"/>
  <c r="S199" i="482"/>
  <c r="O199" i="482"/>
  <c r="M199" i="482"/>
  <c r="M200" i="482" s="1"/>
  <c r="R198" i="482"/>
  <c r="W198" i="482" s="1"/>
  <c r="W197" i="482"/>
  <c r="R197" i="482"/>
  <c r="O197" i="482"/>
  <c r="O200" i="482" s="1"/>
  <c r="L197" i="482"/>
  <c r="Q197" i="482" s="1"/>
  <c r="S197" i="482" s="1"/>
  <c r="R196" i="482"/>
  <c r="W196" i="482" s="1"/>
  <c r="Q196" i="482"/>
  <c r="X192" i="482"/>
  <c r="O192" i="482"/>
  <c r="O201" i="482" s="1"/>
  <c r="M192" i="482"/>
  <c r="W191" i="482"/>
  <c r="S191" i="482"/>
  <c r="O191" i="482"/>
  <c r="AE191" i="482" s="1"/>
  <c r="L191" i="482"/>
  <c r="L192" i="482" s="1"/>
  <c r="AE190" i="482"/>
  <c r="S190" i="482"/>
  <c r="R190" i="482"/>
  <c r="W190" i="482" s="1"/>
  <c r="AE189" i="482"/>
  <c r="W189" i="482"/>
  <c r="S189" i="482"/>
  <c r="R189" i="482"/>
  <c r="AE188" i="482"/>
  <c r="S188" i="482"/>
  <c r="R188" i="482"/>
  <c r="W188" i="482" s="1"/>
  <c r="AE187" i="482"/>
  <c r="W187" i="482"/>
  <c r="S187" i="482"/>
  <c r="R187" i="482"/>
  <c r="AE186" i="482"/>
  <c r="S186" i="482"/>
  <c r="R186" i="482"/>
  <c r="W186" i="482" s="1"/>
  <c r="AE185" i="482"/>
  <c r="S185" i="482"/>
  <c r="R185" i="482"/>
  <c r="W185" i="482" s="1"/>
  <c r="AE184" i="482"/>
  <c r="S184" i="482"/>
  <c r="R184" i="482"/>
  <c r="W184" i="482" s="1"/>
  <c r="AE183" i="482"/>
  <c r="R183" i="482"/>
  <c r="W183" i="482" s="1"/>
  <c r="Q183" i="482"/>
  <c r="S183" i="482" s="1"/>
  <c r="AE182" i="482"/>
  <c r="S182" i="482"/>
  <c r="R182" i="482"/>
  <c r="W182" i="482" s="1"/>
  <c r="AE181" i="482"/>
  <c r="S181" i="482"/>
  <c r="R181" i="482"/>
  <c r="W181" i="482" s="1"/>
  <c r="AE180" i="482"/>
  <c r="W180" i="482"/>
  <c r="S180" i="482"/>
  <c r="R180" i="482"/>
  <c r="AE179" i="482"/>
  <c r="S179" i="482"/>
  <c r="R179" i="482"/>
  <c r="W179" i="482" s="1"/>
  <c r="AE178" i="482"/>
  <c r="S178" i="482"/>
  <c r="R178" i="482"/>
  <c r="W178" i="482" s="1"/>
  <c r="AE177" i="482"/>
  <c r="S177" i="482"/>
  <c r="R177" i="482"/>
  <c r="W177" i="482" s="1"/>
  <c r="AE176" i="482"/>
  <c r="S176" i="482"/>
  <c r="R176" i="482"/>
  <c r="W176" i="482" s="1"/>
  <c r="AE175" i="482"/>
  <c r="Q175" i="482"/>
  <c r="P175" i="482"/>
  <c r="R175" i="482" s="1"/>
  <c r="W175" i="482" s="1"/>
  <c r="AE174" i="482"/>
  <c r="Q174" i="482"/>
  <c r="P174" i="482"/>
  <c r="R174" i="482" s="1"/>
  <c r="W174" i="482" s="1"/>
  <c r="AE173" i="482"/>
  <c r="Q173" i="482"/>
  <c r="S173" i="482" s="1"/>
  <c r="P173" i="482"/>
  <c r="P192" i="482" s="1"/>
  <c r="AE172" i="482"/>
  <c r="S172" i="482"/>
  <c r="R172" i="482"/>
  <c r="Y172" i="482" s="1"/>
  <c r="AE171" i="482"/>
  <c r="S171" i="482"/>
  <c r="R171" i="482"/>
  <c r="W171" i="482" s="1"/>
  <c r="AE170" i="482"/>
  <c r="S170" i="482"/>
  <c r="R170" i="482"/>
  <c r="W170" i="482" s="1"/>
  <c r="AE169" i="482"/>
  <c r="S169" i="482"/>
  <c r="R169" i="482"/>
  <c r="W169" i="482" s="1"/>
  <c r="AE168" i="482"/>
  <c r="R168" i="482"/>
  <c r="W168" i="482" s="1"/>
  <c r="Q168" i="482"/>
  <c r="S168" i="482" s="1"/>
  <c r="AE167" i="482"/>
  <c r="R167" i="482"/>
  <c r="Y167" i="482" s="1"/>
  <c r="Q167" i="482"/>
  <c r="S167" i="482" s="1"/>
  <c r="AE166" i="482"/>
  <c r="R166" i="482"/>
  <c r="Y166" i="482" s="1"/>
  <c r="Q166" i="482"/>
  <c r="S166" i="482" s="1"/>
  <c r="Y165" i="482"/>
  <c r="S165" i="482"/>
  <c r="R165" i="482"/>
  <c r="N165" i="482"/>
  <c r="AE165" i="482" s="1"/>
  <c r="AE164" i="482"/>
  <c r="S164" i="482"/>
  <c r="R164" i="482"/>
  <c r="X155" i="482"/>
  <c r="Q155" i="482"/>
  <c r="P155" i="482"/>
  <c r="M155" i="482"/>
  <c r="Y154" i="482"/>
  <c r="Y155" i="482" s="1"/>
  <c r="W153" i="482"/>
  <c r="N153" i="482"/>
  <c r="N152" i="482"/>
  <c r="S151" i="482"/>
  <c r="O151" i="482"/>
  <c r="L151" i="482"/>
  <c r="R151" i="482" s="1"/>
  <c r="W151" i="482" s="1"/>
  <c r="S150" i="482"/>
  <c r="R150" i="482"/>
  <c r="R155" i="482" s="1"/>
  <c r="X149" i="482"/>
  <c r="Q149" i="482"/>
  <c r="P149" i="482"/>
  <c r="M149" i="482"/>
  <c r="L149" i="482"/>
  <c r="AE148" i="482"/>
  <c r="R148" i="482"/>
  <c r="W148" i="482" s="1"/>
  <c r="AE147" i="482"/>
  <c r="W147" i="482"/>
  <c r="R147" i="482"/>
  <c r="AE146" i="482"/>
  <c r="R146" i="482"/>
  <c r="W146" i="482" s="1"/>
  <c r="R145" i="482"/>
  <c r="Y145" i="482" s="1"/>
  <c r="R144" i="482"/>
  <c r="Y144" i="482" s="1"/>
  <c r="S143" i="482"/>
  <c r="R143" i="482"/>
  <c r="V143" i="482" s="1"/>
  <c r="V149" i="482" s="1"/>
  <c r="R142" i="482"/>
  <c r="W142" i="482" s="1"/>
  <c r="O142" i="482"/>
  <c r="W141" i="482"/>
  <c r="R141" i="482"/>
  <c r="O141" i="482"/>
  <c r="R140" i="482"/>
  <c r="Y140" i="482" s="1"/>
  <c r="R139" i="482"/>
  <c r="Y139" i="482" s="1"/>
  <c r="R138" i="482"/>
  <c r="Y138" i="482" s="1"/>
  <c r="R137" i="482"/>
  <c r="N137" i="482"/>
  <c r="N149" i="482" s="1"/>
  <c r="U130" i="482"/>
  <c r="T130" i="482"/>
  <c r="M130" i="482"/>
  <c r="X129" i="482"/>
  <c r="X130" i="482" s="1"/>
  <c r="W129" i="482"/>
  <c r="W130" i="482" s="1"/>
  <c r="P129" i="482"/>
  <c r="P130" i="482" s="1"/>
  <c r="O129" i="482"/>
  <c r="O130" i="482" s="1"/>
  <c r="M129" i="482"/>
  <c r="Y127" i="482"/>
  <c r="N126" i="482"/>
  <c r="R125" i="482"/>
  <c r="V125" i="482" s="1"/>
  <c r="N125" i="482"/>
  <c r="AC124" i="482"/>
  <c r="R124" i="482"/>
  <c r="Y124" i="482" s="1"/>
  <c r="Q124" i="482"/>
  <c r="S124" i="482" s="1"/>
  <c r="R123" i="482"/>
  <c r="V123" i="482" s="1"/>
  <c r="N123" i="482"/>
  <c r="V122" i="482"/>
  <c r="R122" i="482"/>
  <c r="V121" i="482"/>
  <c r="R121" i="482"/>
  <c r="R120" i="482"/>
  <c r="Y120" i="482" s="1"/>
  <c r="Q120" i="482"/>
  <c r="S120" i="482" s="1"/>
  <c r="N120" i="482"/>
  <c r="AC120" i="482" s="1"/>
  <c r="Y119" i="482"/>
  <c r="R119" i="482"/>
  <c r="Q119" i="482"/>
  <c r="S119" i="482" s="1"/>
  <c r="N119" i="482"/>
  <c r="AC119" i="482" s="1"/>
  <c r="AC118" i="482"/>
  <c r="R118" i="482"/>
  <c r="Y118" i="482" s="1"/>
  <c r="Q118" i="482"/>
  <c r="S118" i="482" s="1"/>
  <c r="N118" i="482"/>
  <c r="Y117" i="482"/>
  <c r="R117" i="482"/>
  <c r="Q117" i="482"/>
  <c r="S117" i="482" s="1"/>
  <c r="N117" i="482"/>
  <c r="AC117" i="482" s="1"/>
  <c r="R116" i="482"/>
  <c r="Y116" i="482" s="1"/>
  <c r="Q116" i="482"/>
  <c r="S116" i="482" s="1"/>
  <c r="N116" i="482"/>
  <c r="AC116" i="482" s="1"/>
  <c r="R115" i="482"/>
  <c r="Y115" i="482" s="1"/>
  <c r="Q115" i="482"/>
  <c r="S115" i="482" s="1"/>
  <c r="N115" i="482"/>
  <c r="R114" i="482"/>
  <c r="Y114" i="482" s="1"/>
  <c r="Q114" i="482"/>
  <c r="S114" i="482" s="1"/>
  <c r="N114" i="482"/>
  <c r="V113" i="482"/>
  <c r="S113" i="482"/>
  <c r="R113" i="482"/>
  <c r="AC112" i="482"/>
  <c r="S112" i="482"/>
  <c r="R112" i="482"/>
  <c r="Y112" i="482" s="1"/>
  <c r="AC111" i="482"/>
  <c r="S111" i="482"/>
  <c r="R111" i="482"/>
  <c r="Y111" i="482" s="1"/>
  <c r="Q111" i="482"/>
  <c r="AC110" i="482"/>
  <c r="S110" i="482"/>
  <c r="R110" i="482"/>
  <c r="Y110" i="482" s="1"/>
  <c r="AC109" i="482"/>
  <c r="Y109" i="482"/>
  <c r="N109" i="482"/>
  <c r="R109" i="482" s="1"/>
  <c r="S108" i="482"/>
  <c r="R108" i="482"/>
  <c r="V108" i="482" s="1"/>
  <c r="R107" i="482"/>
  <c r="V107" i="482" s="1"/>
  <c r="R106" i="482"/>
  <c r="V106" i="482" s="1"/>
  <c r="R105" i="482"/>
  <c r="V105" i="482" s="1"/>
  <c r="R104" i="482"/>
  <c r="V104" i="482" s="1"/>
  <c r="R103" i="482"/>
  <c r="V103" i="482" s="1"/>
  <c r="N102" i="482"/>
  <c r="R102" i="482" s="1"/>
  <c r="AQ101" i="482"/>
  <c r="Y101" i="482"/>
  <c r="N101" i="482"/>
  <c r="R101" i="482" s="1"/>
  <c r="L101" i="482"/>
  <c r="L129" i="482" s="1"/>
  <c r="L130" i="482" s="1"/>
  <c r="S100" i="482"/>
  <c r="R100" i="482"/>
  <c r="V100" i="482" s="1"/>
  <c r="N100" i="482"/>
  <c r="S99" i="482"/>
  <c r="R99" i="482"/>
  <c r="Y99" i="482" s="1"/>
  <c r="N99" i="482"/>
  <c r="N129" i="482" s="1"/>
  <c r="N130" i="482" s="1"/>
  <c r="AF95" i="482" s="1"/>
  <c r="V98" i="482"/>
  <c r="S98" i="482"/>
  <c r="R98" i="482"/>
  <c r="U91" i="482"/>
  <c r="T91" i="482"/>
  <c r="Y90" i="482"/>
  <c r="X90" i="482"/>
  <c r="V90" i="482"/>
  <c r="P90" i="482"/>
  <c r="O90" i="482"/>
  <c r="N90" i="482"/>
  <c r="M90" i="482"/>
  <c r="L90" i="482"/>
  <c r="W89" i="482"/>
  <c r="W90" i="482" s="1"/>
  <c r="R89" i="482"/>
  <c r="R90" i="482" s="1"/>
  <c r="Q89" i="482"/>
  <c r="S89" i="482" s="1"/>
  <c r="O89" i="482"/>
  <c r="Y84" i="482"/>
  <c r="X84" i="482"/>
  <c r="V84" i="482"/>
  <c r="Q84" i="482"/>
  <c r="P84" i="482"/>
  <c r="N84" i="482"/>
  <c r="M84" i="482"/>
  <c r="L84" i="482"/>
  <c r="W83" i="482"/>
  <c r="W84" i="482" s="1"/>
  <c r="S83" i="482"/>
  <c r="R83" i="482"/>
  <c r="R84" i="482" s="1"/>
  <c r="O83" i="482"/>
  <c r="O84" i="482" s="1"/>
  <c r="X78" i="482"/>
  <c r="W78" i="482"/>
  <c r="V78" i="482"/>
  <c r="Q78" i="482"/>
  <c r="P78" i="482"/>
  <c r="N78" i="482"/>
  <c r="M78" i="482"/>
  <c r="L78" i="482"/>
  <c r="Y77" i="482"/>
  <c r="Y78" i="482" s="1"/>
  <c r="S77" i="482"/>
  <c r="R77" i="482"/>
  <c r="R78" i="482" s="1"/>
  <c r="O77" i="482"/>
  <c r="O78" i="482" s="1"/>
  <c r="Y72" i="482"/>
  <c r="X72" i="482"/>
  <c r="V72" i="482"/>
  <c r="Q72" i="482"/>
  <c r="P72" i="482"/>
  <c r="N72" i="482"/>
  <c r="M72" i="482"/>
  <c r="R71" i="482"/>
  <c r="W71" i="482" s="1"/>
  <c r="L71" i="482"/>
  <c r="O71" i="482" s="1"/>
  <c r="L70" i="482"/>
  <c r="L72" i="482" s="1"/>
  <c r="Y66" i="482"/>
  <c r="Y91" i="482" s="1"/>
  <c r="X66" i="482"/>
  <c r="X91" i="482" s="1"/>
  <c r="W66" i="482"/>
  <c r="Q66" i="482"/>
  <c r="P66" i="482"/>
  <c r="O66" i="482"/>
  <c r="M66" i="482"/>
  <c r="L66" i="482"/>
  <c r="AE65" i="482"/>
  <c r="S65" i="482"/>
  <c r="R65" i="482"/>
  <c r="V65" i="482" s="1"/>
  <c r="N65" i="482"/>
  <c r="AE64" i="482"/>
  <c r="AF64" i="482" s="1"/>
  <c r="S64" i="482"/>
  <c r="R64" i="482"/>
  <c r="R66" i="482" s="1"/>
  <c r="N64" i="482"/>
  <c r="AE61" i="482"/>
  <c r="AF60" i="482"/>
  <c r="W59" i="482"/>
  <c r="M56" i="482"/>
  <c r="Y54" i="482"/>
  <c r="X54" i="482"/>
  <c r="V54" i="482"/>
  <c r="U54" i="482"/>
  <c r="T54" i="482"/>
  <c r="S54" i="482"/>
  <c r="R54" i="482"/>
  <c r="Q54" i="482"/>
  <c r="P54" i="482"/>
  <c r="N54" i="482"/>
  <c r="AE52" i="482"/>
  <c r="W52" i="482"/>
  <c r="W54" i="482" s="1"/>
  <c r="O52" i="482"/>
  <c r="O54" i="482" s="1"/>
  <c r="X47" i="482"/>
  <c r="X56" i="482" s="1"/>
  <c r="U47" i="482"/>
  <c r="U56" i="482" s="1"/>
  <c r="T47" i="482"/>
  <c r="T56" i="482" s="1"/>
  <c r="P47" i="482"/>
  <c r="AE45" i="482"/>
  <c r="W45" i="482"/>
  <c r="AE44" i="482"/>
  <c r="W44" i="482"/>
  <c r="AE43" i="482"/>
  <c r="W43" i="482"/>
  <c r="AE42" i="482"/>
  <c r="W42" i="482"/>
  <c r="AE41" i="482"/>
  <c r="W41" i="482"/>
  <c r="W40" i="482"/>
  <c r="O40" i="482"/>
  <c r="AE40" i="482" s="1"/>
  <c r="R39" i="482"/>
  <c r="W39" i="482" s="1"/>
  <c r="O39" i="482"/>
  <c r="Q39" i="482" s="1"/>
  <c r="W38" i="482"/>
  <c r="R38" i="482"/>
  <c r="Q38" i="482"/>
  <c r="O38" i="482"/>
  <c r="AE38" i="482" s="1"/>
  <c r="AE37" i="482"/>
  <c r="W37" i="482"/>
  <c r="S37" i="482"/>
  <c r="O37" i="482"/>
  <c r="AE36" i="482"/>
  <c r="W36" i="482"/>
  <c r="S36" i="482"/>
  <c r="O36" i="482"/>
  <c r="W35" i="482"/>
  <c r="S35" i="482"/>
  <c r="L35" i="482"/>
  <c r="O35" i="482" s="1"/>
  <c r="AE35" i="482" s="1"/>
  <c r="R34" i="482"/>
  <c r="V34" i="482" s="1"/>
  <c r="V47" i="482" s="1"/>
  <c r="V56" i="482" s="1"/>
  <c r="O34" i="482"/>
  <c r="O47" i="482" s="1"/>
  <c r="Y33" i="482"/>
  <c r="R33" i="482"/>
  <c r="Q33" i="482"/>
  <c r="S33" i="482" s="1"/>
  <c r="N33" i="482"/>
  <c r="AE33" i="482" s="1"/>
  <c r="Y32" i="482"/>
  <c r="R32" i="482"/>
  <c r="Q32" i="482"/>
  <c r="S32" i="482" s="1"/>
  <c r="N32" i="482"/>
  <c r="AE32" i="482" s="1"/>
  <c r="Y31" i="482"/>
  <c r="R31" i="482"/>
  <c r="Q31" i="482"/>
  <c r="S31" i="482" s="1"/>
  <c r="L31" i="482"/>
  <c r="L56" i="482" s="1"/>
  <c r="R30" i="482"/>
  <c r="R47" i="482" s="1"/>
  <c r="R56" i="482" s="1"/>
  <c r="Q30" i="482"/>
  <c r="N30" i="482"/>
  <c r="AE30" i="482" s="1"/>
  <c r="Y26" i="482"/>
  <c r="X26" i="482"/>
  <c r="V26" i="482"/>
  <c r="O26" i="482"/>
  <c r="N26" i="482"/>
  <c r="M26" i="482"/>
  <c r="L26" i="482"/>
  <c r="S25" i="482"/>
  <c r="R25" i="482"/>
  <c r="R26" i="482" s="1"/>
  <c r="O25" i="482"/>
  <c r="X21" i="482"/>
  <c r="W21" i="482"/>
  <c r="U21" i="482"/>
  <c r="T21" i="482"/>
  <c r="P21" i="482"/>
  <c r="O21" i="482"/>
  <c r="M21" i="482"/>
  <c r="L21" i="482"/>
  <c r="AE20" i="482"/>
  <c r="Y20" i="482"/>
  <c r="N20" i="482"/>
  <c r="AE19" i="482"/>
  <c r="V19" i="482"/>
  <c r="D19" i="482"/>
  <c r="AE18" i="482"/>
  <c r="S18" i="482"/>
  <c r="R18" i="482"/>
  <c r="Y18" i="482" s="1"/>
  <c r="Q18" i="482"/>
  <c r="Q21" i="482" s="1"/>
  <c r="N18" i="482"/>
  <c r="Y17" i="482"/>
  <c r="S17" i="482"/>
  <c r="R17" i="482"/>
  <c r="N17" i="482"/>
  <c r="AE17" i="482" s="1"/>
  <c r="S16" i="482"/>
  <c r="R16" i="482"/>
  <c r="V16" i="482" s="1"/>
  <c r="N16" i="482"/>
  <c r="AE16" i="482" s="1"/>
  <c r="S15" i="482"/>
  <c r="R15" i="482"/>
  <c r="V15" i="482" s="1"/>
  <c r="N15" i="482"/>
  <c r="AE15" i="482" s="1"/>
  <c r="V14" i="482"/>
  <c r="R14" i="482"/>
  <c r="N14" i="482"/>
  <c r="AE14" i="482" s="1"/>
  <c r="S13" i="482"/>
  <c r="R13" i="482"/>
  <c r="V13" i="482" s="1"/>
  <c r="N13" i="482"/>
  <c r="AE13" i="482" s="1"/>
  <c r="S12" i="482"/>
  <c r="R12" i="482"/>
  <c r="V12" i="482" s="1"/>
  <c r="N12" i="482"/>
  <c r="AE12" i="482" s="1"/>
  <c r="S11" i="482"/>
  <c r="R11" i="482"/>
  <c r="V11" i="482" s="1"/>
  <c r="N11" i="482"/>
  <c r="AE11" i="482" s="1"/>
  <c r="AE10" i="482"/>
  <c r="Y10" i="482"/>
  <c r="V9" i="482"/>
  <c r="S9" i="482"/>
  <c r="R9" i="482"/>
  <c r="N9" i="482"/>
  <c r="AE9" i="482" s="1"/>
  <c r="S8" i="482"/>
  <c r="R8" i="482"/>
  <c r="N8" i="482"/>
  <c r="AE8" i="482" s="1"/>
  <c r="AE7" i="482"/>
  <c r="V7" i="482"/>
  <c r="S7" i="482"/>
  <c r="N7" i="482"/>
  <c r="L29" i="211"/>
  <c r="R143" i="186"/>
  <c r="F13" i="211"/>
  <c r="E13" i="211"/>
  <c r="E7" i="247"/>
  <c r="D7" i="247"/>
  <c r="C13" i="28"/>
  <c r="R174" i="186"/>
  <c r="R188" i="186"/>
  <c r="R189" i="186"/>
  <c r="R149" i="186"/>
  <c r="Q203" i="186"/>
  <c r="Q201" i="186"/>
  <c r="Q199" i="186"/>
  <c r="Q197" i="186"/>
  <c r="Q196" i="186"/>
  <c r="Q194" i="186"/>
  <c r="Q193" i="186"/>
  <c r="Q192" i="186"/>
  <c r="Q190" i="186"/>
  <c r="Q189" i="186"/>
  <c r="Q188" i="186"/>
  <c r="Q187" i="186"/>
  <c r="Q184" i="186" s="1"/>
  <c r="Q186" i="186"/>
  <c r="Q185" i="186"/>
  <c r="Q183" i="186"/>
  <c r="Q182" i="186"/>
  <c r="Q181" i="186"/>
  <c r="Q180" i="186"/>
  <c r="Q179" i="186"/>
  <c r="Q177" i="186"/>
  <c r="Q176" i="186"/>
  <c r="Q175" i="186"/>
  <c r="Q174" i="186"/>
  <c r="Q172" i="186"/>
  <c r="Q171" i="186"/>
  <c r="Q170" i="186"/>
  <c r="Q169" i="186"/>
  <c r="Q168" i="186"/>
  <c r="Q167" i="186"/>
  <c r="Q166" i="186"/>
  <c r="Q165" i="186"/>
  <c r="Q164" i="186" s="1"/>
  <c r="Q162" i="186"/>
  <c r="Q161" i="186"/>
  <c r="Q160" i="186"/>
  <c r="Q153" i="186"/>
  <c r="Q152" i="186"/>
  <c r="Q151" i="186"/>
  <c r="Q150" i="186"/>
  <c r="Q149" i="186"/>
  <c r="Q140" i="186"/>
  <c r="Q139" i="186"/>
  <c r="Q138" i="186"/>
  <c r="Q137" i="186"/>
  <c r="Q136" i="186"/>
  <c r="Q135" i="186"/>
  <c r="Q134" i="186"/>
  <c r="Q133" i="186"/>
  <c r="Q128" i="186"/>
  <c r="Q127" i="186"/>
  <c r="Q126" i="186"/>
  <c r="Q123" i="186"/>
  <c r="Q118" i="186"/>
  <c r="Q117" i="186"/>
  <c r="Q116" i="186"/>
  <c r="Q115" i="186"/>
  <c r="Q112" i="186"/>
  <c r="Q107" i="186"/>
  <c r="Q101" i="186"/>
  <c r="Q100" i="186"/>
  <c r="Q99" i="186"/>
  <c r="Q98" i="186"/>
  <c r="Q97" i="186"/>
  <c r="Q94" i="186"/>
  <c r="Q88" i="186"/>
  <c r="Q87" i="186"/>
  <c r="Q86" i="186"/>
  <c r="Q85" i="186"/>
  <c r="Q82" i="186"/>
  <c r="Q76" i="186"/>
  <c r="Q75" i="186"/>
  <c r="Q74" i="186"/>
  <c r="Q73" i="186"/>
  <c r="Q72" i="186"/>
  <c r="Q71" i="186"/>
  <c r="Q68" i="186"/>
  <c r="Q57" i="186"/>
  <c r="Q56" i="186"/>
  <c r="Q55" i="186"/>
  <c r="Q52" i="186"/>
  <c r="Q51" i="186"/>
  <c r="Q50" i="186"/>
  <c r="Q49" i="186"/>
  <c r="Q48" i="186"/>
  <c r="Q47" i="186"/>
  <c r="Q46" i="186"/>
  <c r="Q45" i="186"/>
  <c r="Q44" i="186"/>
  <c r="Q43" i="186"/>
  <c r="Q42" i="186"/>
  <c r="Q41" i="186"/>
  <c r="Q40" i="186"/>
  <c r="Q39" i="186"/>
  <c r="Q38" i="186"/>
  <c r="Q37" i="186"/>
  <c r="Q36" i="186"/>
  <c r="Q35" i="186"/>
  <c r="Q34" i="186"/>
  <c r="Q33" i="186"/>
  <c r="Q32" i="186"/>
  <c r="Q31" i="186"/>
  <c r="Q30" i="186"/>
  <c r="Q29" i="186"/>
  <c r="Q26" i="186"/>
  <c r="Q25" i="186"/>
  <c r="Q24" i="186"/>
  <c r="Q23" i="186"/>
  <c r="Q22" i="186"/>
  <c r="Q21" i="186"/>
  <c r="Q18" i="186"/>
  <c r="Q17" i="186"/>
  <c r="Q16" i="186"/>
  <c r="Q15" i="186"/>
  <c r="Q14" i="186"/>
  <c r="Q13" i="186"/>
  <c r="Q12" i="186"/>
  <c r="Q11" i="186"/>
  <c r="Q10" i="186"/>
  <c r="B25" i="18"/>
  <c r="B24" i="18"/>
  <c r="B23" i="18"/>
  <c r="B14" i="18"/>
  <c r="B13" i="18"/>
  <c r="B12" i="18"/>
  <c r="B11" i="18"/>
  <c r="F246" i="307"/>
  <c r="C48" i="28"/>
  <c r="R185" i="186"/>
  <c r="R166" i="186"/>
  <c r="S190" i="186"/>
  <c r="S172" i="186"/>
  <c r="R164" i="186"/>
  <c r="P164" i="186"/>
  <c r="P172" i="186"/>
  <c r="N164" i="186"/>
  <c r="N184" i="186"/>
  <c r="P190" i="186"/>
  <c r="C42" i="28"/>
  <c r="D42" i="426"/>
  <c r="Y21" i="482" l="1"/>
  <c r="Y192" i="482"/>
  <c r="Y201" i="482" s="1"/>
  <c r="N21" i="482"/>
  <c r="L57" i="482"/>
  <c r="X57" i="482"/>
  <c r="N66" i="482"/>
  <c r="N91" i="482" s="1"/>
  <c r="AF65" i="482"/>
  <c r="AG65" i="482" s="1"/>
  <c r="O149" i="482"/>
  <c r="R173" i="482"/>
  <c r="W173" i="482" s="1"/>
  <c r="S174" i="482"/>
  <c r="S175" i="482"/>
  <c r="S212" i="482"/>
  <c r="S216" i="482" s="1"/>
  <c r="AG349" i="482"/>
  <c r="AH349" i="482" s="1"/>
  <c r="AG352" i="482"/>
  <c r="AH352" i="482" s="1"/>
  <c r="O365" i="482"/>
  <c r="W149" i="482"/>
  <c r="W156" i="482" s="1"/>
  <c r="W380" i="482"/>
  <c r="S21" i="482"/>
  <c r="R21" i="482"/>
  <c r="M57" i="482"/>
  <c r="T57" i="482"/>
  <c r="W25" i="482"/>
  <c r="W26" i="482" s="1"/>
  <c r="AC101" i="482"/>
  <c r="R149" i="482"/>
  <c r="M156" i="482"/>
  <c r="X295" i="482"/>
  <c r="R308" i="482"/>
  <c r="W318" i="482"/>
  <c r="W319" i="482" s="1"/>
  <c r="AG345" i="482"/>
  <c r="AH345" i="482" s="1"/>
  <c r="O394" i="482"/>
  <c r="O395" i="482" s="1"/>
  <c r="AG389" i="482"/>
  <c r="AH389" i="482" s="1"/>
  <c r="X216" i="482"/>
  <c r="X217" i="482" s="1"/>
  <c r="AF218" i="482" s="1"/>
  <c r="N31" i="482"/>
  <c r="AE31" i="482" s="1"/>
  <c r="O56" i="482"/>
  <c r="O57" i="482" s="1"/>
  <c r="P56" i="482"/>
  <c r="AG64" i="482"/>
  <c r="M91" i="482"/>
  <c r="Q129" i="482"/>
  <c r="Q130" i="482" s="1"/>
  <c r="Y137" i="482"/>
  <c r="W155" i="482"/>
  <c r="R191" i="482"/>
  <c r="N192" i="482"/>
  <c r="N201" i="482" s="1"/>
  <c r="Q200" i="482"/>
  <c r="W326" i="482"/>
  <c r="W327" i="482" s="1"/>
  <c r="W328" i="482" s="1"/>
  <c r="AG348" i="482"/>
  <c r="AH348" i="482" s="1"/>
  <c r="AG351" i="482"/>
  <c r="AH351" i="482" s="1"/>
  <c r="V366" i="482"/>
  <c r="W394" i="482"/>
  <c r="Q47" i="482"/>
  <c r="Q56" i="482" s="1"/>
  <c r="AF9" i="482"/>
  <c r="AG9" i="482" s="1"/>
  <c r="W47" i="482"/>
  <c r="W56" i="482" s="1"/>
  <c r="W57" i="482" s="1"/>
  <c r="AE71" i="482"/>
  <c r="AF127" i="482"/>
  <c r="AG127" i="482" s="1"/>
  <c r="AF111" i="482"/>
  <c r="AG111" i="482" s="1"/>
  <c r="AF107" i="482"/>
  <c r="AG107" i="482" s="1"/>
  <c r="AF106" i="482"/>
  <c r="AG106" i="482" s="1"/>
  <c r="AF105" i="482"/>
  <c r="AG105" i="482" s="1"/>
  <c r="AF104" i="482"/>
  <c r="AG104" i="482" s="1"/>
  <c r="AF103" i="482"/>
  <c r="AG103" i="482" s="1"/>
  <c r="AF124" i="482"/>
  <c r="AG124" i="482" s="1"/>
  <c r="AF122" i="482"/>
  <c r="AG122" i="482" s="1"/>
  <c r="AF121" i="482"/>
  <c r="AG121" i="482" s="1"/>
  <c r="AF113" i="482"/>
  <c r="AG113" i="482" s="1"/>
  <c r="AF112" i="482"/>
  <c r="AG112" i="482" s="1"/>
  <c r="AF99" i="482"/>
  <c r="AG99" i="482" s="1"/>
  <c r="AF98" i="482"/>
  <c r="AG98" i="482" s="1"/>
  <c r="AF110" i="482"/>
  <c r="AG110" i="482" s="1"/>
  <c r="AF108" i="482"/>
  <c r="AG108" i="482" s="1"/>
  <c r="AF8" i="482"/>
  <c r="AG8" i="482" s="1"/>
  <c r="AF5" i="482"/>
  <c r="AF19" i="482" s="1"/>
  <c r="AG19" i="482" s="1"/>
  <c r="AF10" i="482"/>
  <c r="AG10" i="482" s="1"/>
  <c r="AF13" i="482"/>
  <c r="AG13" i="482" s="1"/>
  <c r="AF17" i="482"/>
  <c r="AG17" i="482" s="1"/>
  <c r="AF11" i="482"/>
  <c r="AG11" i="482" s="1"/>
  <c r="AF12" i="482"/>
  <c r="AG12" i="482" s="1"/>
  <c r="AF16" i="482"/>
  <c r="AG16" i="482" s="1"/>
  <c r="AF18" i="482"/>
  <c r="AG18" i="482" s="1"/>
  <c r="U57" i="482"/>
  <c r="V8" i="482"/>
  <c r="V21" i="482" s="1"/>
  <c r="V57" i="482" s="1"/>
  <c r="S30" i="482"/>
  <c r="S47" i="482" s="1"/>
  <c r="S56" i="482" s="1"/>
  <c r="V64" i="482"/>
  <c r="V66" i="482" s="1"/>
  <c r="V91" i="482" s="1"/>
  <c r="R70" i="482"/>
  <c r="AF115" i="482"/>
  <c r="AG115" i="482" s="1"/>
  <c r="AC115" i="482"/>
  <c r="AF119" i="482"/>
  <c r="AG119" i="482" s="1"/>
  <c r="AF125" i="482"/>
  <c r="AG125" i="482" s="1"/>
  <c r="AF177" i="482"/>
  <c r="AG177" i="482" s="1"/>
  <c r="Y30" i="482"/>
  <c r="Y47" i="482" s="1"/>
  <c r="Y56" i="482" s="1"/>
  <c r="Y57" i="482" s="1"/>
  <c r="AE34" i="482"/>
  <c r="AF102" i="482"/>
  <c r="AG102" i="482" s="1"/>
  <c r="AC102" i="482"/>
  <c r="AF116" i="482"/>
  <c r="AG116" i="482" s="1"/>
  <c r="AF120" i="482"/>
  <c r="AG120" i="482" s="1"/>
  <c r="AF176" i="482"/>
  <c r="AG176" i="482" s="1"/>
  <c r="AE39" i="482"/>
  <c r="Q90" i="482"/>
  <c r="AF117" i="482"/>
  <c r="AG117" i="482" s="1"/>
  <c r="AF123" i="482"/>
  <c r="AG123" i="482" s="1"/>
  <c r="AF126" i="482"/>
  <c r="AG126" i="482" s="1"/>
  <c r="R126" i="482"/>
  <c r="V126" i="482" s="1"/>
  <c r="V129" i="482" s="1"/>
  <c r="V130" i="482" s="1"/>
  <c r="X156" i="482"/>
  <c r="O155" i="482"/>
  <c r="O156" i="482" s="1"/>
  <c r="AE151" i="482"/>
  <c r="V164" i="482"/>
  <c r="V192" i="482" s="1"/>
  <c r="V201" i="482" s="1"/>
  <c r="R192" i="482"/>
  <c r="AF165" i="482"/>
  <c r="AG165" i="482" s="1"/>
  <c r="AF161" i="482"/>
  <c r="AF180" i="482" s="1"/>
  <c r="AG180" i="482" s="1"/>
  <c r="AF167" i="482"/>
  <c r="AG167" i="482" s="1"/>
  <c r="L91" i="482"/>
  <c r="O70" i="482"/>
  <c r="Y129" i="482"/>
  <c r="Y130" i="482" s="1"/>
  <c r="AF100" i="482"/>
  <c r="AG100" i="482" s="1"/>
  <c r="AF101" i="482"/>
  <c r="AG101" i="482" s="1"/>
  <c r="AF114" i="482"/>
  <c r="AG114" i="482" s="1"/>
  <c r="AC114" i="482"/>
  <c r="AF118" i="482"/>
  <c r="AG118" i="482" s="1"/>
  <c r="Y149" i="482"/>
  <c r="Y156" i="482" s="1"/>
  <c r="AF173" i="482"/>
  <c r="AG173" i="482" s="1"/>
  <c r="AF181" i="482"/>
  <c r="AG181" i="482" s="1"/>
  <c r="AF109" i="482"/>
  <c r="AG109" i="482" s="1"/>
  <c r="V150" i="482"/>
  <c r="V155" i="482" s="1"/>
  <c r="V156" i="482" s="1"/>
  <c r="N155" i="482"/>
  <c r="N156" i="482" s="1"/>
  <c r="L155" i="482"/>
  <c r="L156" i="482" s="1"/>
  <c r="AF171" i="482"/>
  <c r="AG171" i="482" s="1"/>
  <c r="AF182" i="482"/>
  <c r="AG182" i="482" s="1"/>
  <c r="W209" i="482"/>
  <c r="W216" i="482" s="1"/>
  <c r="W217" i="482" s="1"/>
  <c r="W240" i="482"/>
  <c r="S240" i="482"/>
  <c r="AG265" i="482"/>
  <c r="AH265" i="482" s="1"/>
  <c r="W354" i="482"/>
  <c r="W366" i="482" s="1"/>
  <c r="AC99" i="482"/>
  <c r="AE142" i="482"/>
  <c r="AF178" i="482"/>
  <c r="AG178" i="482" s="1"/>
  <c r="AF183" i="482"/>
  <c r="AG183" i="482" s="1"/>
  <c r="AF185" i="482"/>
  <c r="AG185" i="482" s="1"/>
  <c r="AF187" i="482"/>
  <c r="AG187" i="482" s="1"/>
  <c r="AF189" i="482"/>
  <c r="AG189" i="482" s="1"/>
  <c r="W200" i="482"/>
  <c r="AG254" i="482"/>
  <c r="AH254" i="482" s="1"/>
  <c r="Q192" i="482"/>
  <c r="AF166" i="482"/>
  <c r="AG166" i="482" s="1"/>
  <c r="W192" i="482"/>
  <c r="W201" i="482" s="1"/>
  <c r="AF169" i="482"/>
  <c r="AG169" i="482" s="1"/>
  <c r="S305" i="482"/>
  <c r="S308" i="482" s="1"/>
  <c r="S309" i="482" s="1"/>
  <c r="Q308" i="482"/>
  <c r="N281" i="482"/>
  <c r="N295" i="482" s="1"/>
  <c r="AG237" i="482"/>
  <c r="AG245" i="482" s="1"/>
  <c r="AH245" i="482" s="1"/>
  <c r="AG247" i="482"/>
  <c r="AH247" i="482" s="1"/>
  <c r="AG273" i="482"/>
  <c r="L200" i="482"/>
  <c r="L201" i="482" s="1"/>
  <c r="W239" i="482"/>
  <c r="R281" i="482"/>
  <c r="R295" i="482" s="1"/>
  <c r="S239" i="482"/>
  <c r="S281" i="482" s="1"/>
  <c r="S295" i="482" s="1"/>
  <c r="AG255" i="482"/>
  <c r="AH255" i="482" s="1"/>
  <c r="AG262" i="482"/>
  <c r="AH262" i="482" s="1"/>
  <c r="T295" i="482"/>
  <c r="Y295" i="482"/>
  <c r="Q318" i="482"/>
  <c r="S316" i="482"/>
  <c r="O366" i="482"/>
  <c r="S366" i="482"/>
  <c r="O380" i="482"/>
  <c r="O381" i="482" s="1"/>
  <c r="M201" i="482"/>
  <c r="X201" i="482"/>
  <c r="S196" i="482"/>
  <c r="R199" i="482"/>
  <c r="R200" i="482" s="1"/>
  <c r="O216" i="482"/>
  <c r="O217" i="482" s="1"/>
  <c r="AE209" i="482"/>
  <c r="R210" i="482"/>
  <c r="V210" i="482" s="1"/>
  <c r="V216" i="482" s="1"/>
  <c r="V217" i="482" s="1"/>
  <c r="N210" i="482"/>
  <c r="AG268" i="482"/>
  <c r="AG270" i="482"/>
  <c r="AG276" i="482"/>
  <c r="U295" i="482"/>
  <c r="S326" i="482"/>
  <c r="Q327" i="482"/>
  <c r="P366" i="482"/>
  <c r="T366" i="482"/>
  <c r="X366" i="482"/>
  <c r="W381" i="482"/>
  <c r="AG347" i="482"/>
  <c r="AH347" i="482" s="1"/>
  <c r="AG350" i="482"/>
  <c r="AH350" i="482" s="1"/>
  <c r="W395" i="482"/>
  <c r="H16" i="239"/>
  <c r="H17" i="239"/>
  <c r="H18" i="239"/>
  <c r="H19" i="239"/>
  <c r="H20" i="239"/>
  <c r="H21" i="239"/>
  <c r="H22" i="239"/>
  <c r="H23" i="239"/>
  <c r="F249" i="307"/>
  <c r="F248" i="307"/>
  <c r="F247" i="307"/>
  <c r="R161" i="186"/>
  <c r="R167" i="186"/>
  <c r="R179" i="186"/>
  <c r="R182" i="186"/>
  <c r="R181" i="186"/>
  <c r="R180" i="186"/>
  <c r="R175" i="186"/>
  <c r="R171" i="186"/>
  <c r="R170" i="186"/>
  <c r="W281" i="482" l="1"/>
  <c r="W295" i="482" s="1"/>
  <c r="X398" i="482"/>
  <c r="N47" i="482"/>
  <c r="N56" i="482" s="1"/>
  <c r="N57" i="482"/>
  <c r="Y398" i="482"/>
  <c r="AF191" i="482"/>
  <c r="AG191" i="482" s="1"/>
  <c r="AF14" i="482"/>
  <c r="AG14" i="482" s="1"/>
  <c r="V398" i="482"/>
  <c r="N216" i="482"/>
  <c r="N217" i="482" s="1"/>
  <c r="AE210" i="482"/>
  <c r="AG243" i="482"/>
  <c r="AH243" i="482" s="1"/>
  <c r="AG242" i="482"/>
  <c r="AH242" i="482" s="1"/>
  <c r="AG250" i="482"/>
  <c r="AH250" i="482" s="1"/>
  <c r="AG257" i="482"/>
  <c r="AH257" i="482" s="1"/>
  <c r="AG251" i="482"/>
  <c r="AH251" i="482" s="1"/>
  <c r="AG258" i="482"/>
  <c r="AH258" i="482" s="1"/>
  <c r="AG259" i="482"/>
  <c r="AH259" i="482" s="1"/>
  <c r="AG253" i="482"/>
  <c r="AH253" i="482" s="1"/>
  <c r="AG252" i="482"/>
  <c r="AH252" i="482" s="1"/>
  <c r="AG274" i="482"/>
  <c r="AG256" i="482"/>
  <c r="AH256" i="482" s="1"/>
  <c r="AF204" i="482"/>
  <c r="AG244" i="482"/>
  <c r="AH244" i="482" s="1"/>
  <c r="AG269" i="482"/>
  <c r="AG246" i="482"/>
  <c r="AH246" i="482" s="1"/>
  <c r="AG263" i="482"/>
  <c r="AH263" i="482" s="1"/>
  <c r="R216" i="482"/>
  <c r="AF179" i="482"/>
  <c r="AG179" i="482" s="1"/>
  <c r="AF175" i="482"/>
  <c r="AG175" i="482" s="1"/>
  <c r="AF164" i="482"/>
  <c r="AG164" i="482" s="1"/>
  <c r="AF190" i="482"/>
  <c r="AG190" i="482" s="1"/>
  <c r="AF188" i="482"/>
  <c r="AG188" i="482" s="1"/>
  <c r="AF186" i="482"/>
  <c r="AG186" i="482" s="1"/>
  <c r="AF184" i="482"/>
  <c r="AG184" i="482" s="1"/>
  <c r="AF172" i="482"/>
  <c r="AG172" i="482" s="1"/>
  <c r="AF168" i="482"/>
  <c r="AG168" i="482" s="1"/>
  <c r="AF170" i="482"/>
  <c r="AG170" i="482" s="1"/>
  <c r="AF174" i="482"/>
  <c r="AG174" i="482" s="1"/>
  <c r="AE28" i="482"/>
  <c r="AF34" i="482" s="1"/>
  <c r="AG34" i="482" s="1"/>
  <c r="AF7" i="482"/>
  <c r="AG7" i="482" s="1"/>
  <c r="AF15" i="482"/>
  <c r="AG15" i="482" s="1"/>
  <c r="AF135" i="482"/>
  <c r="AF142" i="482" s="1"/>
  <c r="AG142" i="482" s="1"/>
  <c r="O72" i="482"/>
  <c r="AG271" i="482"/>
  <c r="AG260" i="482"/>
  <c r="AH260" i="482" s="1"/>
  <c r="AG248" i="482"/>
  <c r="AH248" i="482" s="1"/>
  <c r="R129" i="482"/>
  <c r="R130" i="482" s="1"/>
  <c r="AG272" i="482"/>
  <c r="AG267" i="482"/>
  <c r="AH267" i="482" s="1"/>
  <c r="AG275" i="482"/>
  <c r="AG264" i="482"/>
  <c r="AH264" i="482" s="1"/>
  <c r="AG261" i="482"/>
  <c r="AH261" i="482" s="1"/>
  <c r="AG266" i="482"/>
  <c r="AH266" i="482" s="1"/>
  <c r="AG249" i="482"/>
  <c r="AH249" i="482" s="1"/>
  <c r="R72" i="482"/>
  <c r="W70" i="482"/>
  <c r="AF20" i="482"/>
  <c r="AG20" i="482" s="1"/>
  <c r="O43" i="52"/>
  <c r="O41" i="52"/>
  <c r="O39" i="52"/>
  <c r="O30" i="52"/>
  <c r="O31" i="52"/>
  <c r="O32" i="52"/>
  <c r="O33" i="52"/>
  <c r="O29" i="52"/>
  <c r="O25" i="52"/>
  <c r="O23" i="52"/>
  <c r="O21" i="52"/>
  <c r="K45" i="52"/>
  <c r="K35" i="52"/>
  <c r="K17" i="52"/>
  <c r="K13" i="52" s="1"/>
  <c r="K27" i="52" s="1"/>
  <c r="K49" i="52" s="1"/>
  <c r="C31" i="51"/>
  <c r="AF39" i="482" l="1"/>
  <c r="AG39" i="482" s="1"/>
  <c r="N398" i="482"/>
  <c r="AF211" i="482"/>
  <c r="AG211" i="482" s="1"/>
  <c r="AF212" i="482"/>
  <c r="AG212" i="482" s="1"/>
  <c r="AF213" i="482"/>
  <c r="AG213" i="482" s="1"/>
  <c r="AF353" i="482"/>
  <c r="AG353" i="482" s="1"/>
  <c r="AF214" i="482"/>
  <c r="AG214" i="482" s="1"/>
  <c r="W72" i="482"/>
  <c r="AE70" i="482"/>
  <c r="AF150" i="482"/>
  <c r="AG150" i="482" s="1"/>
  <c r="AF144" i="482"/>
  <c r="AG144" i="482" s="1"/>
  <c r="AF149" i="482"/>
  <c r="AG149" i="482" s="1"/>
  <c r="AF148" i="482"/>
  <c r="AG148" i="482" s="1"/>
  <c r="AF147" i="482"/>
  <c r="AG147" i="482" s="1"/>
  <c r="AF145" i="482"/>
  <c r="AG145" i="482" s="1"/>
  <c r="AF141" i="482"/>
  <c r="AG141" i="482" s="1"/>
  <c r="AF143" i="482"/>
  <c r="AG143" i="482" s="1"/>
  <c r="AF138" i="482"/>
  <c r="AG138" i="482" s="1"/>
  <c r="AF139" i="482"/>
  <c r="AG139" i="482" s="1"/>
  <c r="AF140" i="482"/>
  <c r="AG140" i="482" s="1"/>
  <c r="AF137" i="482"/>
  <c r="AG137" i="482" s="1"/>
  <c r="AF146" i="482"/>
  <c r="AG146" i="482" s="1"/>
  <c r="AF52" i="482"/>
  <c r="AG52" i="482" s="1"/>
  <c r="AF55" i="482"/>
  <c r="AG55" i="482" s="1"/>
  <c r="AF45" i="482"/>
  <c r="AG45" i="482" s="1"/>
  <c r="AF44" i="482"/>
  <c r="AG44" i="482" s="1"/>
  <c r="AF43" i="482"/>
  <c r="AG43" i="482" s="1"/>
  <c r="AF42" i="482"/>
  <c r="AG42" i="482" s="1"/>
  <c r="AF41" i="482"/>
  <c r="AG41" i="482" s="1"/>
  <c r="AF32" i="482"/>
  <c r="AG32" i="482" s="1"/>
  <c r="AF37" i="482"/>
  <c r="AG37" i="482" s="1"/>
  <c r="AF31" i="482"/>
  <c r="AG31" i="482" s="1"/>
  <c r="AF38" i="482"/>
  <c r="AG38" i="482" s="1"/>
  <c r="AF40" i="482"/>
  <c r="AG40" i="482" s="1"/>
  <c r="AF36" i="482"/>
  <c r="AG36" i="482" s="1"/>
  <c r="AF30" i="482"/>
  <c r="AG30" i="482" s="1"/>
  <c r="AF35" i="482"/>
  <c r="AG35" i="482" s="1"/>
  <c r="AF33" i="482"/>
  <c r="AG33" i="482" s="1"/>
  <c r="AF209" i="482"/>
  <c r="AG209" i="482" s="1"/>
  <c r="AF210" i="482"/>
  <c r="AG210" i="482" s="1"/>
  <c r="AF71" i="482"/>
  <c r="O91" i="482"/>
  <c r="O398" i="482" s="1"/>
  <c r="AF151" i="482"/>
  <c r="AG151" i="482" s="1"/>
  <c r="S137" i="186"/>
  <c r="Q465" i="211"/>
  <c r="S445" i="211"/>
  <c r="R445" i="211"/>
  <c r="Q445" i="211"/>
  <c r="R429" i="211"/>
  <c r="Q429" i="211"/>
  <c r="S411" i="211"/>
  <c r="R411" i="211"/>
  <c r="Q411" i="211"/>
  <c r="S383" i="211"/>
  <c r="R383" i="211"/>
  <c r="Q383" i="211"/>
  <c r="D39" i="429"/>
  <c r="D38" i="429"/>
  <c r="D37" i="429"/>
  <c r="D35" i="429"/>
  <c r="D34" i="429"/>
  <c r="D33" i="429"/>
  <c r="D32" i="429"/>
  <c r="D31" i="429"/>
  <c r="D26" i="429"/>
  <c r="D25" i="429"/>
  <c r="D22" i="429"/>
  <c r="D21" i="429"/>
  <c r="D17" i="429"/>
  <c r="D16" i="429"/>
  <c r="D15" i="429"/>
  <c r="D13" i="429"/>
  <c r="D36" i="419"/>
  <c r="D35" i="419"/>
  <c r="D34" i="419"/>
  <c r="D32" i="419"/>
  <c r="D31" i="419"/>
  <c r="D30" i="419"/>
  <c r="D29" i="419"/>
  <c r="D28" i="419"/>
  <c r="D23" i="419"/>
  <c r="D22" i="419"/>
  <c r="D19" i="419"/>
  <c r="D18" i="419"/>
  <c r="D14" i="419"/>
  <c r="D13" i="419"/>
  <c r="D12" i="419"/>
  <c r="D10" i="419"/>
  <c r="G25" i="237"/>
  <c r="G24" i="237"/>
  <c r="G23" i="237"/>
  <c r="G21" i="237"/>
  <c r="I7" i="311"/>
  <c r="I8" i="311"/>
  <c r="I9" i="311"/>
  <c r="I10" i="311"/>
  <c r="I11" i="311"/>
  <c r="I12" i="311"/>
  <c r="I13" i="311"/>
  <c r="I14" i="311"/>
  <c r="I15" i="311"/>
  <c r="I16" i="311"/>
  <c r="I17" i="311"/>
  <c r="I18" i="311"/>
  <c r="J13" i="52"/>
  <c r="J27" i="52" s="1"/>
  <c r="S139" i="186"/>
  <c r="S138" i="186"/>
  <c r="S134" i="186"/>
  <c r="J85" i="186"/>
  <c r="J149" i="186"/>
  <c r="S140" i="186"/>
  <c r="P140" i="186"/>
  <c r="S136" i="186"/>
  <c r="P136" i="186"/>
  <c r="S135" i="186"/>
  <c r="P135" i="186"/>
  <c r="P138" i="186"/>
  <c r="P137" i="186"/>
  <c r="P134" i="186"/>
  <c r="S133" i="186"/>
  <c r="P133" i="186"/>
  <c r="R132" i="186"/>
  <c r="R141" i="186" s="1"/>
  <c r="O132" i="186"/>
  <c r="O141" i="186" s="1"/>
  <c r="N132" i="186"/>
  <c r="N141" i="186" s="1"/>
  <c r="M132" i="186"/>
  <c r="M141" i="186" s="1"/>
  <c r="L132" i="186"/>
  <c r="L141" i="186" s="1"/>
  <c r="K132" i="186"/>
  <c r="K141" i="186" s="1"/>
  <c r="J132" i="186"/>
  <c r="J141" i="186" s="1"/>
  <c r="I132" i="186"/>
  <c r="I141" i="186" s="1"/>
  <c r="G132" i="186"/>
  <c r="G141" i="186" s="1"/>
  <c r="F132" i="186"/>
  <c r="F141" i="186" s="1"/>
  <c r="E132" i="186"/>
  <c r="E141" i="186" s="1"/>
  <c r="D132" i="186"/>
  <c r="D141" i="186" s="1"/>
  <c r="E20" i="421"/>
  <c r="AG71" i="482" l="1"/>
  <c r="AG70" i="482"/>
  <c r="AE72" i="482"/>
  <c r="AE50" i="482" s="1"/>
  <c r="W91" i="482"/>
  <c r="W398" i="482" s="1"/>
  <c r="Q470" i="211"/>
  <c r="Q472" i="211"/>
  <c r="Q469" i="211"/>
  <c r="C40" i="82"/>
  <c r="C39" i="82" s="1"/>
  <c r="Q471" i="211"/>
  <c r="H132" i="186"/>
  <c r="H141" i="186" s="1"/>
  <c r="S132" i="186"/>
  <c r="S141" i="186" s="1"/>
  <c r="Q132" i="186"/>
  <c r="Q141" i="186" s="1"/>
  <c r="P139" i="186"/>
  <c r="P132" i="186" s="1"/>
  <c r="P141" i="186" s="1"/>
  <c r="R184" i="186"/>
  <c r="R177" i="186"/>
  <c r="X401" i="482" l="1"/>
  <c r="AD401" i="482"/>
  <c r="J37" i="52"/>
  <c r="J35" i="52" s="1"/>
  <c r="J45" i="52" s="1"/>
  <c r="J49" i="52" s="1"/>
  <c r="H117" i="186"/>
  <c r="H87" i="186"/>
  <c r="H100" i="186"/>
  <c r="H99" i="186"/>
  <c r="H75" i="186"/>
  <c r="H73" i="186"/>
  <c r="P181" i="186" l="1"/>
  <c r="P182" i="186"/>
  <c r="P171" i="186"/>
  <c r="C17" i="28"/>
  <c r="E20" i="328" l="1"/>
  <c r="D37" i="292" l="1"/>
  <c r="C29" i="426" s="1"/>
  <c r="D19" i="228"/>
  <c r="S181" i="186"/>
  <c r="S182" i="186"/>
  <c r="S171" i="186"/>
  <c r="R165" i="186"/>
  <c r="R173" i="186" l="1"/>
  <c r="L17" i="211"/>
  <c r="R178" i="186" l="1"/>
  <c r="F57" i="211" l="1"/>
  <c r="L16" i="211"/>
  <c r="L20" i="211" s="1"/>
  <c r="F30" i="241"/>
  <c r="E30" i="241"/>
  <c r="D41" i="428"/>
  <c r="D25" i="414"/>
  <c r="D21" i="414"/>
  <c r="D17" i="413"/>
  <c r="D9" i="415" s="1"/>
  <c r="D14" i="413"/>
  <c r="D8" i="415" s="1"/>
  <c r="F52" i="234"/>
  <c r="G70" i="426"/>
  <c r="J34" i="292"/>
  <c r="J17" i="292"/>
  <c r="E45" i="292"/>
  <c r="E33" i="292"/>
  <c r="E25" i="292"/>
  <c r="E17" i="292"/>
  <c r="H40" i="407"/>
  <c r="D18" i="424" l="1"/>
  <c r="E148" i="186"/>
  <c r="F148" i="186"/>
  <c r="G148" i="186"/>
  <c r="H148" i="186"/>
  <c r="I148" i="186"/>
  <c r="J148" i="186"/>
  <c r="K148" i="186"/>
  <c r="L148" i="186"/>
  <c r="M148" i="186"/>
  <c r="N148" i="186"/>
  <c r="O148" i="186"/>
  <c r="Q148" i="186"/>
  <c r="R148" i="186"/>
  <c r="D148" i="186"/>
  <c r="S203" i="186"/>
  <c r="S202" i="186" s="1"/>
  <c r="S201" i="186"/>
  <c r="S200" i="186" s="1"/>
  <c r="Q198" i="186"/>
  <c r="S197" i="186"/>
  <c r="S196" i="186"/>
  <c r="S194" i="186"/>
  <c r="S193" i="186"/>
  <c r="S192" i="186"/>
  <c r="S189" i="186"/>
  <c r="S188" i="186"/>
  <c r="S187" i="186"/>
  <c r="S185" i="186"/>
  <c r="S183" i="186"/>
  <c r="Q178" i="186"/>
  <c r="S179" i="186"/>
  <c r="S177" i="186"/>
  <c r="S176" i="186"/>
  <c r="S175" i="186"/>
  <c r="Q173" i="186"/>
  <c r="S170" i="186"/>
  <c r="S169" i="186"/>
  <c r="S168" i="186"/>
  <c r="S167" i="186"/>
  <c r="S165" i="186"/>
  <c r="S162" i="186"/>
  <c r="Q159" i="186"/>
  <c r="S160" i="186"/>
  <c r="P203" i="186"/>
  <c r="P202" i="186" s="1"/>
  <c r="P201" i="186"/>
  <c r="P200" i="186" s="1"/>
  <c r="P199" i="186"/>
  <c r="P198" i="186" s="1"/>
  <c r="P197" i="186"/>
  <c r="P196" i="186"/>
  <c r="P194" i="186"/>
  <c r="P193" i="186"/>
  <c r="P192" i="186"/>
  <c r="P189" i="186"/>
  <c r="P188" i="186"/>
  <c r="P187" i="186"/>
  <c r="P186" i="186"/>
  <c r="P185" i="186"/>
  <c r="P183" i="186"/>
  <c r="P180" i="186"/>
  <c r="P179" i="186"/>
  <c r="P177" i="186"/>
  <c r="P176" i="186"/>
  <c r="P175" i="186"/>
  <c r="P174" i="186"/>
  <c r="P170" i="186"/>
  <c r="P169" i="186"/>
  <c r="P168" i="186"/>
  <c r="P167" i="186"/>
  <c r="P166" i="186"/>
  <c r="P165" i="186"/>
  <c r="P162" i="186"/>
  <c r="P161" i="186"/>
  <c r="P160" i="186"/>
  <c r="R202" i="186"/>
  <c r="Q202" i="186"/>
  <c r="O202" i="186"/>
  <c r="N202" i="186"/>
  <c r="M202" i="186"/>
  <c r="L202" i="186"/>
  <c r="K202" i="186"/>
  <c r="J202" i="186"/>
  <c r="I202" i="186"/>
  <c r="H202" i="186"/>
  <c r="G202" i="186"/>
  <c r="F202" i="186"/>
  <c r="E202" i="186"/>
  <c r="D202" i="186"/>
  <c r="R200" i="186"/>
  <c r="O200" i="186"/>
  <c r="N200" i="186"/>
  <c r="M200" i="186"/>
  <c r="L200" i="186"/>
  <c r="K200" i="186"/>
  <c r="J200" i="186"/>
  <c r="I200" i="186"/>
  <c r="H200" i="186"/>
  <c r="G200" i="186"/>
  <c r="F200" i="186"/>
  <c r="E200" i="186"/>
  <c r="D200" i="186"/>
  <c r="E198" i="186"/>
  <c r="F198" i="186"/>
  <c r="G198" i="186"/>
  <c r="H198" i="186"/>
  <c r="I198" i="186"/>
  <c r="J198" i="186"/>
  <c r="K198" i="186"/>
  <c r="L198" i="186"/>
  <c r="M198" i="186"/>
  <c r="N198" i="186"/>
  <c r="O198" i="186"/>
  <c r="R198" i="186"/>
  <c r="D198" i="186"/>
  <c r="E195" i="186"/>
  <c r="F195" i="186"/>
  <c r="G195" i="186"/>
  <c r="H195" i="186"/>
  <c r="I195" i="186"/>
  <c r="J195" i="186"/>
  <c r="K195" i="186"/>
  <c r="L195" i="186"/>
  <c r="M195" i="186"/>
  <c r="N195" i="186"/>
  <c r="O195" i="186"/>
  <c r="Q195" i="186"/>
  <c r="R195" i="186"/>
  <c r="D195" i="186"/>
  <c r="E191" i="186"/>
  <c r="F191" i="186"/>
  <c r="G191" i="186"/>
  <c r="H191" i="186"/>
  <c r="I191" i="186"/>
  <c r="J191" i="186"/>
  <c r="K191" i="186"/>
  <c r="L191" i="186"/>
  <c r="M191" i="186"/>
  <c r="N191" i="186"/>
  <c r="O191" i="186"/>
  <c r="R191" i="186"/>
  <c r="D191" i="186"/>
  <c r="E184" i="186"/>
  <c r="F184" i="186"/>
  <c r="G184" i="186"/>
  <c r="H184" i="186"/>
  <c r="I184" i="186"/>
  <c r="J184" i="186"/>
  <c r="K184" i="186"/>
  <c r="L184" i="186"/>
  <c r="M184" i="186"/>
  <c r="O184" i="186"/>
  <c r="D184" i="186"/>
  <c r="E178" i="186"/>
  <c r="F178" i="186"/>
  <c r="G178" i="186"/>
  <c r="H178" i="186"/>
  <c r="I178" i="186"/>
  <c r="J178" i="186"/>
  <c r="K178" i="186"/>
  <c r="L178" i="186"/>
  <c r="M178" i="186"/>
  <c r="N178" i="186"/>
  <c r="O178" i="186"/>
  <c r="D178" i="186"/>
  <c r="E173" i="186"/>
  <c r="F173" i="186"/>
  <c r="G173" i="186"/>
  <c r="H173" i="186"/>
  <c r="I173" i="186"/>
  <c r="J173" i="186"/>
  <c r="K173" i="186"/>
  <c r="L173" i="186"/>
  <c r="M173" i="186"/>
  <c r="N173" i="186"/>
  <c r="O173" i="186"/>
  <c r="D173" i="186"/>
  <c r="E164" i="186"/>
  <c r="F164" i="186"/>
  <c r="G164" i="186"/>
  <c r="H164" i="186"/>
  <c r="I164" i="186"/>
  <c r="J164" i="186"/>
  <c r="K164" i="186"/>
  <c r="L164" i="186"/>
  <c r="M164" i="186"/>
  <c r="O164" i="186"/>
  <c r="D164" i="186"/>
  <c r="E159" i="186"/>
  <c r="F159" i="186"/>
  <c r="G159" i="186"/>
  <c r="H159" i="186"/>
  <c r="I159" i="186"/>
  <c r="J159" i="186"/>
  <c r="K159" i="186"/>
  <c r="L159" i="186"/>
  <c r="M159" i="186"/>
  <c r="N159" i="186"/>
  <c r="O159" i="186"/>
  <c r="R159" i="186"/>
  <c r="D159" i="186"/>
  <c r="D70" i="186"/>
  <c r="E216" i="307"/>
  <c r="F216" i="307"/>
  <c r="G216" i="307"/>
  <c r="H216" i="307"/>
  <c r="I216" i="307"/>
  <c r="J216" i="307"/>
  <c r="K216" i="307"/>
  <c r="L216" i="307"/>
  <c r="M216" i="307"/>
  <c r="N216" i="307"/>
  <c r="O216" i="307"/>
  <c r="P216" i="307"/>
  <c r="D216" i="307"/>
  <c r="E207" i="307"/>
  <c r="F207" i="307"/>
  <c r="G207" i="307"/>
  <c r="H207" i="307"/>
  <c r="I207" i="307"/>
  <c r="J207" i="307"/>
  <c r="K207" i="307"/>
  <c r="L207" i="307"/>
  <c r="M207" i="307"/>
  <c r="N207" i="307"/>
  <c r="O207" i="307"/>
  <c r="P207" i="307"/>
  <c r="D207" i="307"/>
  <c r="E184" i="307"/>
  <c r="F184" i="307"/>
  <c r="G184" i="307"/>
  <c r="H184" i="307"/>
  <c r="I184" i="307"/>
  <c r="J184" i="307"/>
  <c r="K184" i="307"/>
  <c r="L184" i="307"/>
  <c r="M184" i="307"/>
  <c r="N184" i="307"/>
  <c r="O184" i="307"/>
  <c r="P184" i="307"/>
  <c r="D184" i="307"/>
  <c r="E141" i="307"/>
  <c r="F141" i="307"/>
  <c r="G141" i="307"/>
  <c r="H141" i="307"/>
  <c r="I141" i="307"/>
  <c r="J141" i="307"/>
  <c r="K141" i="307"/>
  <c r="L141" i="307"/>
  <c r="M141" i="307"/>
  <c r="N141" i="307"/>
  <c r="O141" i="307"/>
  <c r="P141" i="307"/>
  <c r="D141" i="307"/>
  <c r="E128" i="307"/>
  <c r="F128" i="307"/>
  <c r="G128" i="307"/>
  <c r="H128" i="307"/>
  <c r="I128" i="307"/>
  <c r="J128" i="307"/>
  <c r="K128" i="307"/>
  <c r="L128" i="307"/>
  <c r="M128" i="307"/>
  <c r="N128" i="307"/>
  <c r="O128" i="307"/>
  <c r="P128" i="307"/>
  <c r="D128" i="307"/>
  <c r="E118" i="307"/>
  <c r="F118" i="307"/>
  <c r="G118" i="307"/>
  <c r="H118" i="307"/>
  <c r="I118" i="307"/>
  <c r="J118" i="307"/>
  <c r="K118" i="307"/>
  <c r="L118" i="307"/>
  <c r="M118" i="307"/>
  <c r="N118" i="307"/>
  <c r="O118" i="307"/>
  <c r="P118" i="307"/>
  <c r="D118" i="307"/>
  <c r="E107" i="307"/>
  <c r="F107" i="307"/>
  <c r="G107" i="307"/>
  <c r="H107" i="307"/>
  <c r="I107" i="307"/>
  <c r="J107" i="307"/>
  <c r="K107" i="307"/>
  <c r="L107" i="307"/>
  <c r="M107" i="307"/>
  <c r="N107" i="307"/>
  <c r="O107" i="307"/>
  <c r="P107" i="307"/>
  <c r="D107" i="307"/>
  <c r="E101" i="307"/>
  <c r="F101" i="307"/>
  <c r="G101" i="307"/>
  <c r="H101" i="307"/>
  <c r="I101" i="307"/>
  <c r="J101" i="307"/>
  <c r="K101" i="307"/>
  <c r="L101" i="307"/>
  <c r="M101" i="307"/>
  <c r="N101" i="307"/>
  <c r="O101" i="307"/>
  <c r="P101" i="307"/>
  <c r="D101" i="307"/>
  <c r="E88" i="307"/>
  <c r="F88" i="307"/>
  <c r="G88" i="307"/>
  <c r="H88" i="307"/>
  <c r="I88" i="307"/>
  <c r="J88" i="307"/>
  <c r="K88" i="307"/>
  <c r="L88" i="307"/>
  <c r="M88" i="307"/>
  <c r="N88" i="307"/>
  <c r="O88" i="307"/>
  <c r="P88" i="307"/>
  <c r="D88" i="307"/>
  <c r="E76" i="307"/>
  <c r="F76" i="307"/>
  <c r="G76" i="307"/>
  <c r="H76" i="307"/>
  <c r="I76" i="307"/>
  <c r="J76" i="307"/>
  <c r="K76" i="307"/>
  <c r="L76" i="307"/>
  <c r="M76" i="307"/>
  <c r="N76" i="307"/>
  <c r="O76" i="307"/>
  <c r="P76" i="307"/>
  <c r="D76" i="307"/>
  <c r="P184" i="186" l="1"/>
  <c r="P191" i="186"/>
  <c r="H205" i="186"/>
  <c r="P195" i="186"/>
  <c r="L205" i="186"/>
  <c r="D205" i="186"/>
  <c r="G205" i="186"/>
  <c r="K205" i="186"/>
  <c r="O205" i="186"/>
  <c r="E205" i="186"/>
  <c r="I205" i="186"/>
  <c r="M205" i="186"/>
  <c r="P178" i="186"/>
  <c r="F205" i="186"/>
  <c r="J205" i="186"/>
  <c r="N205" i="186"/>
  <c r="P159" i="186"/>
  <c r="P173" i="186"/>
  <c r="S195" i="186"/>
  <c r="S191" i="186"/>
  <c r="Q200" i="186"/>
  <c r="S199" i="186"/>
  <c r="S198" i="186" s="1"/>
  <c r="Q191" i="186"/>
  <c r="S186" i="186"/>
  <c r="S184" i="186" s="1"/>
  <c r="S180" i="186"/>
  <c r="S178" i="186" s="1"/>
  <c r="S174" i="186"/>
  <c r="S173" i="186" s="1"/>
  <c r="R205" i="186"/>
  <c r="S166" i="186"/>
  <c r="S164" i="186" s="1"/>
  <c r="S161" i="186"/>
  <c r="S159" i="186" s="1"/>
  <c r="P205" i="186" l="1"/>
  <c r="Q205" i="186"/>
  <c r="E27" i="211"/>
  <c r="E71" i="211"/>
  <c r="S205" i="186"/>
  <c r="D71" i="211" l="1"/>
  <c r="E34" i="211" l="1"/>
  <c r="C19" i="247" l="1"/>
  <c r="E31" i="432" l="1"/>
  <c r="H31" i="432" s="1"/>
  <c r="E30" i="432"/>
  <c r="H30" i="432" s="1"/>
  <c r="E29" i="432"/>
  <c r="H29" i="432" s="1"/>
  <c r="H28" i="432" s="1"/>
  <c r="G28" i="432"/>
  <c r="F28" i="432"/>
  <c r="D28" i="432"/>
  <c r="C28" i="432"/>
  <c r="E27" i="432"/>
  <c r="H27" i="432" s="1"/>
  <c r="E26" i="432"/>
  <c r="H26" i="432" s="1"/>
  <c r="E25" i="432"/>
  <c r="E24" i="432" s="1"/>
  <c r="G24" i="432"/>
  <c r="F24" i="432"/>
  <c r="D24" i="432"/>
  <c r="C24" i="432"/>
  <c r="E23" i="432"/>
  <c r="E22" i="432"/>
  <c r="H22" i="432" s="1"/>
  <c r="G21" i="432"/>
  <c r="F21" i="432"/>
  <c r="D21" i="432"/>
  <c r="C21" i="432"/>
  <c r="E19" i="432"/>
  <c r="H19" i="432" s="1"/>
  <c r="E18" i="432"/>
  <c r="E16" i="432" s="1"/>
  <c r="E17" i="432"/>
  <c r="H17" i="432" s="1"/>
  <c r="G16" i="432"/>
  <c r="F16" i="432"/>
  <c r="D16" i="432"/>
  <c r="C16" i="432"/>
  <c r="E15" i="432"/>
  <c r="H15" i="432" s="1"/>
  <c r="E14" i="432"/>
  <c r="E12" i="432" s="1"/>
  <c r="E13" i="432"/>
  <c r="H13" i="432" s="1"/>
  <c r="G12" i="432"/>
  <c r="F12" i="432"/>
  <c r="D12" i="432"/>
  <c r="C12" i="432"/>
  <c r="E11" i="432"/>
  <c r="H11" i="432" s="1"/>
  <c r="E28" i="432" l="1"/>
  <c r="E21" i="432" s="1"/>
  <c r="H14" i="432"/>
  <c r="H12" i="432" s="1"/>
  <c r="H18" i="432"/>
  <c r="H16" i="432" s="1"/>
  <c r="H23" i="432"/>
  <c r="H21" i="432" s="1"/>
  <c r="H25" i="432"/>
  <c r="H24" i="432" s="1"/>
  <c r="E82" i="431" l="1"/>
  <c r="H82" i="431" s="1"/>
  <c r="E81" i="431"/>
  <c r="H81" i="431" s="1"/>
  <c r="E80" i="431"/>
  <c r="E79" i="431"/>
  <c r="H79" i="431" s="1"/>
  <c r="G78" i="431"/>
  <c r="F78" i="431"/>
  <c r="D78" i="431"/>
  <c r="C78" i="431"/>
  <c r="E76" i="431"/>
  <c r="H76" i="431" s="1"/>
  <c r="E75" i="431"/>
  <c r="H75" i="431" s="1"/>
  <c r="E74" i="431"/>
  <c r="H74" i="431" s="1"/>
  <c r="E73" i="431"/>
  <c r="H73" i="431" s="1"/>
  <c r="E72" i="431"/>
  <c r="H72" i="431" s="1"/>
  <c r="E71" i="431"/>
  <c r="H71" i="431" s="1"/>
  <c r="E70" i="431"/>
  <c r="H70" i="431" s="1"/>
  <c r="E69" i="431"/>
  <c r="E67" i="431" s="1"/>
  <c r="E68" i="431"/>
  <c r="H68" i="431" s="1"/>
  <c r="G67" i="431"/>
  <c r="F67" i="431"/>
  <c r="D67" i="431"/>
  <c r="C67" i="431"/>
  <c r="E65" i="431"/>
  <c r="H65" i="431" s="1"/>
  <c r="E64" i="431"/>
  <c r="H64" i="431" s="1"/>
  <c r="E63" i="431"/>
  <c r="H63" i="431" s="1"/>
  <c r="E62" i="431"/>
  <c r="H62" i="431" s="1"/>
  <c r="E61" i="431"/>
  <c r="H61" i="431" s="1"/>
  <c r="E60" i="431"/>
  <c r="E58" i="431" s="1"/>
  <c r="E59" i="431"/>
  <c r="H59" i="431" s="1"/>
  <c r="G58" i="431"/>
  <c r="F58" i="431"/>
  <c r="D58" i="431"/>
  <c r="C58" i="431"/>
  <c r="E56" i="431"/>
  <c r="H56" i="431" s="1"/>
  <c r="E55" i="431"/>
  <c r="H55" i="431" s="1"/>
  <c r="E54" i="431"/>
  <c r="H54" i="431" s="1"/>
  <c r="E53" i="431"/>
  <c r="H53" i="431" s="1"/>
  <c r="E52" i="431"/>
  <c r="H52" i="431" s="1"/>
  <c r="E51" i="431"/>
  <c r="H51" i="431" s="1"/>
  <c r="E50" i="431"/>
  <c r="H50" i="431" s="1"/>
  <c r="E49" i="431"/>
  <c r="G48" i="431"/>
  <c r="F48" i="431"/>
  <c r="D48" i="431"/>
  <c r="C48" i="431"/>
  <c r="G47" i="431"/>
  <c r="F47" i="431"/>
  <c r="D47" i="431"/>
  <c r="C47" i="431"/>
  <c r="E45" i="431"/>
  <c r="H45" i="431" s="1"/>
  <c r="E44" i="431"/>
  <c r="H44" i="431" s="1"/>
  <c r="E43" i="431"/>
  <c r="H43" i="431" s="1"/>
  <c r="E42" i="431"/>
  <c r="H42" i="431" s="1"/>
  <c r="G41" i="431"/>
  <c r="F41" i="431"/>
  <c r="E41" i="431"/>
  <c r="D41" i="431"/>
  <c r="C41" i="431"/>
  <c r="E39" i="431"/>
  <c r="H39" i="431" s="1"/>
  <c r="E38" i="431"/>
  <c r="H38" i="431" s="1"/>
  <c r="E37" i="431"/>
  <c r="H37" i="431" s="1"/>
  <c r="E36" i="431"/>
  <c r="H36" i="431" s="1"/>
  <c r="E35" i="431"/>
  <c r="H35" i="431" s="1"/>
  <c r="E34" i="431"/>
  <c r="H34" i="431" s="1"/>
  <c r="E33" i="431"/>
  <c r="H33" i="431" s="1"/>
  <c r="E32" i="431"/>
  <c r="H32" i="431" s="1"/>
  <c r="E28" i="431"/>
  <c r="H28" i="431" s="1"/>
  <c r="E27" i="431"/>
  <c r="H27" i="431" s="1"/>
  <c r="E26" i="431"/>
  <c r="H26" i="431" s="1"/>
  <c r="E25" i="431"/>
  <c r="H25" i="431" s="1"/>
  <c r="E24" i="431"/>
  <c r="H24" i="431" s="1"/>
  <c r="E23" i="431"/>
  <c r="H23" i="431" s="1"/>
  <c r="E22" i="431"/>
  <c r="H22" i="431" s="1"/>
  <c r="G21" i="431"/>
  <c r="F21" i="431"/>
  <c r="D21" i="431"/>
  <c r="C21" i="431"/>
  <c r="E19" i="431"/>
  <c r="H19" i="431" s="1"/>
  <c r="E18" i="431"/>
  <c r="H18" i="431" s="1"/>
  <c r="E17" i="431"/>
  <c r="H17" i="431" s="1"/>
  <c r="E16" i="431"/>
  <c r="H16" i="431" s="1"/>
  <c r="E15" i="431"/>
  <c r="H15" i="431" s="1"/>
  <c r="E14" i="431"/>
  <c r="H14" i="431" s="1"/>
  <c r="E13" i="431"/>
  <c r="E11" i="431" s="1"/>
  <c r="E12" i="431"/>
  <c r="H12" i="431" s="1"/>
  <c r="G11" i="431"/>
  <c r="F11" i="431"/>
  <c r="D11" i="431"/>
  <c r="C11" i="431"/>
  <c r="H41" i="431" l="1"/>
  <c r="E48" i="431"/>
  <c r="E47" i="431" s="1"/>
  <c r="E78" i="431"/>
  <c r="H21" i="431"/>
  <c r="E21" i="431"/>
  <c r="H13" i="431"/>
  <c r="H11" i="431" s="1"/>
  <c r="H49" i="431"/>
  <c r="H48" i="431" s="1"/>
  <c r="H60" i="431"/>
  <c r="H58" i="431" s="1"/>
  <c r="H69" i="431"/>
  <c r="H67" i="431" s="1"/>
  <c r="H80" i="431"/>
  <c r="H78" i="431" s="1"/>
  <c r="H47" i="431" l="1"/>
  <c r="E27" i="430" l="1"/>
  <c r="H27" i="430" s="1"/>
  <c r="E26" i="430"/>
  <c r="H26" i="430" s="1"/>
  <c r="E25" i="430"/>
  <c r="H25" i="430" s="1"/>
  <c r="H24" i="430"/>
  <c r="E24" i="430"/>
  <c r="E23" i="430"/>
  <c r="H23" i="430" s="1"/>
  <c r="H22" i="430"/>
  <c r="E22" i="430"/>
  <c r="E21" i="430"/>
  <c r="H21" i="430" s="1"/>
  <c r="E20" i="430"/>
  <c r="H20" i="430" s="1"/>
  <c r="G19" i="430"/>
  <c r="F19" i="430"/>
  <c r="D19" i="430"/>
  <c r="C19" i="430"/>
  <c r="E19" i="430" s="1"/>
  <c r="H19" i="430" s="1"/>
  <c r="E17" i="430"/>
  <c r="H17" i="430" s="1"/>
  <c r="E16" i="430"/>
  <c r="H16" i="430" s="1"/>
  <c r="H15" i="430"/>
  <c r="E15" i="430"/>
  <c r="E14" i="430"/>
  <c r="H14" i="430" s="1"/>
  <c r="E13" i="430"/>
  <c r="H13" i="430" s="1"/>
  <c r="E12" i="430"/>
  <c r="H12" i="430" s="1"/>
  <c r="E11" i="430"/>
  <c r="H11" i="430" s="1"/>
  <c r="C45" i="429" l="1"/>
  <c r="E45" i="429" s="1"/>
  <c r="C41" i="429"/>
  <c r="C39" i="429"/>
  <c r="C38" i="429"/>
  <c r="C37" i="429"/>
  <c r="C35" i="429"/>
  <c r="E35" i="429" s="1"/>
  <c r="C34" i="429"/>
  <c r="E34" i="429" s="1"/>
  <c r="C33" i="429"/>
  <c r="E33" i="429" s="1"/>
  <c r="C32" i="429"/>
  <c r="C31" i="429"/>
  <c r="C26" i="429"/>
  <c r="C25" i="429"/>
  <c r="E25" i="429" s="1"/>
  <c r="C22" i="429"/>
  <c r="E22" i="429" s="1"/>
  <c r="C21" i="429"/>
  <c r="E21" i="429" s="1"/>
  <c r="D12" i="429"/>
  <c r="C17" i="429"/>
  <c r="C16" i="429"/>
  <c r="E16" i="429" s="1"/>
  <c r="C15" i="429"/>
  <c r="C13" i="429"/>
  <c r="E13" i="429" s="1"/>
  <c r="E158" i="429"/>
  <c r="H158" i="429" s="1"/>
  <c r="E157" i="429"/>
  <c r="H157" i="429" s="1"/>
  <c r="E156" i="429"/>
  <c r="H156" i="429" s="1"/>
  <c r="E155" i="429"/>
  <c r="H155" i="429" s="1"/>
  <c r="E154" i="429"/>
  <c r="H154" i="429" s="1"/>
  <c r="E153" i="429"/>
  <c r="H153" i="429" s="1"/>
  <c r="E152" i="429"/>
  <c r="H152" i="429" s="1"/>
  <c r="G151" i="429"/>
  <c r="F151" i="429"/>
  <c r="D151" i="429"/>
  <c r="C151" i="429"/>
  <c r="E150" i="429"/>
  <c r="H150" i="429" s="1"/>
  <c r="E149" i="429"/>
  <c r="H149" i="429" s="1"/>
  <c r="E148" i="429"/>
  <c r="H148" i="429" s="1"/>
  <c r="G147" i="429"/>
  <c r="F147" i="429"/>
  <c r="D147" i="429"/>
  <c r="C147" i="429"/>
  <c r="E146" i="429"/>
  <c r="H146" i="429" s="1"/>
  <c r="E145" i="429"/>
  <c r="H145" i="429" s="1"/>
  <c r="E144" i="429"/>
  <c r="H144" i="429" s="1"/>
  <c r="E143" i="429"/>
  <c r="H143" i="429" s="1"/>
  <c r="E142" i="429"/>
  <c r="H142" i="429" s="1"/>
  <c r="E141" i="429"/>
  <c r="H141" i="429" s="1"/>
  <c r="E140" i="429"/>
  <c r="E139" i="429"/>
  <c r="H139" i="429" s="1"/>
  <c r="G138" i="429"/>
  <c r="F138" i="429"/>
  <c r="D138" i="429"/>
  <c r="C138" i="429"/>
  <c r="E137" i="429"/>
  <c r="H137" i="429" s="1"/>
  <c r="E136" i="429"/>
  <c r="E135" i="429"/>
  <c r="H135" i="429" s="1"/>
  <c r="G134" i="429"/>
  <c r="F134" i="429"/>
  <c r="D134" i="429"/>
  <c r="C134" i="429"/>
  <c r="E133" i="429"/>
  <c r="H133" i="429" s="1"/>
  <c r="E132" i="429"/>
  <c r="H132" i="429" s="1"/>
  <c r="E131" i="429"/>
  <c r="H131" i="429" s="1"/>
  <c r="E130" i="429"/>
  <c r="H130" i="429" s="1"/>
  <c r="E129" i="429"/>
  <c r="H129" i="429" s="1"/>
  <c r="E128" i="429"/>
  <c r="H128" i="429" s="1"/>
  <c r="E127" i="429"/>
  <c r="H127" i="429" s="1"/>
  <c r="H126" i="429"/>
  <c r="E126" i="429"/>
  <c r="E125" i="429"/>
  <c r="H125" i="429" s="1"/>
  <c r="G124" i="429"/>
  <c r="F124" i="429"/>
  <c r="D124" i="429"/>
  <c r="C124" i="429"/>
  <c r="E123" i="429"/>
  <c r="H123" i="429" s="1"/>
  <c r="E122" i="429"/>
  <c r="H122" i="429" s="1"/>
  <c r="E121" i="429"/>
  <c r="H121" i="429" s="1"/>
  <c r="H120" i="429"/>
  <c r="E120" i="429"/>
  <c r="E119" i="429"/>
  <c r="H119" i="429" s="1"/>
  <c r="E118" i="429"/>
  <c r="H118" i="429" s="1"/>
  <c r="E117" i="429"/>
  <c r="H117" i="429" s="1"/>
  <c r="E116" i="429"/>
  <c r="E115" i="429"/>
  <c r="H115" i="429" s="1"/>
  <c r="G114" i="429"/>
  <c r="F114" i="429"/>
  <c r="D114" i="429"/>
  <c r="C114" i="429"/>
  <c r="E113" i="429"/>
  <c r="H113" i="429" s="1"/>
  <c r="E112" i="429"/>
  <c r="H112" i="429" s="1"/>
  <c r="E111" i="429"/>
  <c r="H111" i="429" s="1"/>
  <c r="E110" i="429"/>
  <c r="H110" i="429" s="1"/>
  <c r="E109" i="429"/>
  <c r="H109" i="429" s="1"/>
  <c r="E108" i="429"/>
  <c r="H108" i="429" s="1"/>
  <c r="E107" i="429"/>
  <c r="H107" i="429" s="1"/>
  <c r="H106" i="429"/>
  <c r="E106" i="429"/>
  <c r="E105" i="429"/>
  <c r="H105" i="429" s="1"/>
  <c r="G104" i="429"/>
  <c r="F104" i="429"/>
  <c r="D104" i="429"/>
  <c r="C104" i="429"/>
  <c r="E103" i="429"/>
  <c r="H103" i="429" s="1"/>
  <c r="E102" i="429"/>
  <c r="H102" i="429" s="1"/>
  <c r="E101" i="429"/>
  <c r="H101" i="429" s="1"/>
  <c r="H100" i="429"/>
  <c r="E100" i="429"/>
  <c r="E99" i="429"/>
  <c r="H99" i="429" s="1"/>
  <c r="E98" i="429"/>
  <c r="H98" i="429" s="1"/>
  <c r="E97" i="429"/>
  <c r="H97" i="429" s="1"/>
  <c r="E96" i="429"/>
  <c r="E95" i="429"/>
  <c r="H95" i="429" s="1"/>
  <c r="G94" i="429"/>
  <c r="F94" i="429"/>
  <c r="D94" i="429"/>
  <c r="C94" i="429"/>
  <c r="E93" i="429"/>
  <c r="H93" i="429" s="1"/>
  <c r="E92" i="429"/>
  <c r="H92" i="429" s="1"/>
  <c r="E91" i="429"/>
  <c r="H91" i="429" s="1"/>
  <c r="E90" i="429"/>
  <c r="H90" i="429" s="1"/>
  <c r="E89" i="429"/>
  <c r="H89" i="429" s="1"/>
  <c r="E88" i="429"/>
  <c r="E87" i="429"/>
  <c r="H87" i="429" s="1"/>
  <c r="G86" i="429"/>
  <c r="F86" i="429"/>
  <c r="D86" i="429"/>
  <c r="C86" i="429"/>
  <c r="F85" i="429"/>
  <c r="E84" i="429"/>
  <c r="H84" i="429" s="1"/>
  <c r="E83" i="429"/>
  <c r="H83" i="429" s="1"/>
  <c r="E82" i="429"/>
  <c r="H82" i="429" s="1"/>
  <c r="E81" i="429"/>
  <c r="H81" i="429" s="1"/>
  <c r="E80" i="429"/>
  <c r="H80" i="429" s="1"/>
  <c r="E79" i="429"/>
  <c r="H79" i="429" s="1"/>
  <c r="E78" i="429"/>
  <c r="H78" i="429" s="1"/>
  <c r="G77" i="429"/>
  <c r="F77" i="429"/>
  <c r="D77" i="429"/>
  <c r="C77" i="429"/>
  <c r="E76" i="429"/>
  <c r="H76" i="429" s="1"/>
  <c r="E75" i="429"/>
  <c r="H75" i="429" s="1"/>
  <c r="E74" i="429"/>
  <c r="H74" i="429" s="1"/>
  <c r="G73" i="429"/>
  <c r="F73" i="429"/>
  <c r="D73" i="429"/>
  <c r="C73" i="429"/>
  <c r="E72" i="429"/>
  <c r="H72" i="429" s="1"/>
  <c r="E71" i="429"/>
  <c r="H71" i="429" s="1"/>
  <c r="H70" i="429"/>
  <c r="E70" i="429"/>
  <c r="E69" i="429"/>
  <c r="H69" i="429" s="1"/>
  <c r="E68" i="429"/>
  <c r="H68" i="429" s="1"/>
  <c r="E67" i="429"/>
  <c r="H67" i="429" s="1"/>
  <c r="E66" i="429"/>
  <c r="E65" i="429"/>
  <c r="H65" i="429" s="1"/>
  <c r="G64" i="429"/>
  <c r="F64" i="429"/>
  <c r="D64" i="429"/>
  <c r="C64" i="429"/>
  <c r="E63" i="429"/>
  <c r="H63" i="429" s="1"/>
  <c r="E62" i="429"/>
  <c r="E60" i="429" s="1"/>
  <c r="E61" i="429"/>
  <c r="H61" i="429" s="1"/>
  <c r="G60" i="429"/>
  <c r="F60" i="429"/>
  <c r="D60" i="429"/>
  <c r="C60" i="429"/>
  <c r="E59" i="429"/>
  <c r="H59" i="429" s="1"/>
  <c r="E58" i="429"/>
  <c r="H58" i="429" s="1"/>
  <c r="E57" i="429"/>
  <c r="H57" i="429" s="1"/>
  <c r="E56" i="429"/>
  <c r="H56" i="429" s="1"/>
  <c r="E55" i="429"/>
  <c r="H55" i="429" s="1"/>
  <c r="H54" i="429"/>
  <c r="E54" i="429"/>
  <c r="E53" i="429"/>
  <c r="H53" i="429" s="1"/>
  <c r="E52" i="429"/>
  <c r="E51" i="429"/>
  <c r="H51" i="429" s="1"/>
  <c r="G50" i="429"/>
  <c r="F50" i="429"/>
  <c r="D50" i="429"/>
  <c r="C50" i="429"/>
  <c r="E49" i="429"/>
  <c r="H49" i="429" s="1"/>
  <c r="E48" i="429"/>
  <c r="H48" i="429" s="1"/>
  <c r="E47" i="429"/>
  <c r="H47" i="429" s="1"/>
  <c r="H46" i="429"/>
  <c r="E46" i="429"/>
  <c r="H44" i="429"/>
  <c r="E44" i="429"/>
  <c r="E43" i="429"/>
  <c r="H43" i="429" s="1"/>
  <c r="E42" i="429"/>
  <c r="E41" i="429"/>
  <c r="D40" i="429"/>
  <c r="E39" i="429"/>
  <c r="E36" i="429"/>
  <c r="H36" i="429" s="1"/>
  <c r="E32" i="429"/>
  <c r="E29" i="429"/>
  <c r="H29" i="429" s="1"/>
  <c r="E28" i="429"/>
  <c r="H28" i="429" s="1"/>
  <c r="E27" i="429"/>
  <c r="H27" i="429" s="1"/>
  <c r="E24" i="429"/>
  <c r="H24" i="429" s="1"/>
  <c r="E23" i="429"/>
  <c r="H23" i="429" s="1"/>
  <c r="E19" i="429"/>
  <c r="H19" i="429" s="1"/>
  <c r="E18" i="429"/>
  <c r="H18" i="429" s="1"/>
  <c r="E17" i="429"/>
  <c r="E15" i="429"/>
  <c r="E14" i="429"/>
  <c r="E77" i="429" l="1"/>
  <c r="C85" i="429"/>
  <c r="E134" i="429"/>
  <c r="H151" i="429"/>
  <c r="H147" i="429"/>
  <c r="C40" i="429"/>
  <c r="C30" i="429"/>
  <c r="C20" i="429"/>
  <c r="E38" i="429"/>
  <c r="E37" i="429"/>
  <c r="D30" i="429"/>
  <c r="E31" i="429"/>
  <c r="D20" i="429"/>
  <c r="E40" i="429"/>
  <c r="E26" i="429"/>
  <c r="E20" i="429" s="1"/>
  <c r="C12" i="429"/>
  <c r="H73" i="429"/>
  <c r="H104" i="429"/>
  <c r="H124" i="429"/>
  <c r="E12" i="429"/>
  <c r="H42" i="429"/>
  <c r="H62" i="429"/>
  <c r="H60" i="429" s="1"/>
  <c r="E64" i="429"/>
  <c r="D85" i="429"/>
  <c r="E94" i="429"/>
  <c r="E114" i="429"/>
  <c r="E147" i="429"/>
  <c r="E151" i="429"/>
  <c r="H77" i="429"/>
  <c r="H14" i="429"/>
  <c r="E50" i="429"/>
  <c r="H66" i="429"/>
  <c r="H64" i="429" s="1"/>
  <c r="E73" i="429"/>
  <c r="E86" i="429"/>
  <c r="H96" i="429"/>
  <c r="H94" i="429" s="1"/>
  <c r="H116" i="429"/>
  <c r="H114" i="429" s="1"/>
  <c r="H136" i="429"/>
  <c r="H134" i="429" s="1"/>
  <c r="E138" i="429"/>
  <c r="C10" i="429"/>
  <c r="C160" i="429" s="1"/>
  <c r="H52" i="429"/>
  <c r="H50" i="429" s="1"/>
  <c r="G85" i="429"/>
  <c r="H88" i="429"/>
  <c r="H86" i="429" s="1"/>
  <c r="E104" i="429"/>
  <c r="E124" i="429"/>
  <c r="H140" i="429"/>
  <c r="H138" i="429" s="1"/>
  <c r="D10" i="429" l="1"/>
  <c r="D160" i="429" s="1"/>
  <c r="E30" i="429"/>
  <c r="E10" i="429" s="1"/>
  <c r="H85" i="429"/>
  <c r="E85" i="429"/>
  <c r="E160" i="429" l="1"/>
  <c r="D16" i="428"/>
  <c r="G78" i="428"/>
  <c r="F78" i="428"/>
  <c r="D78" i="428"/>
  <c r="C78" i="428"/>
  <c r="H78" i="428" s="1"/>
  <c r="H77" i="428"/>
  <c r="E77" i="428"/>
  <c r="H76" i="428"/>
  <c r="E76" i="428"/>
  <c r="H71" i="428"/>
  <c r="H70" i="428" s="1"/>
  <c r="E71" i="428"/>
  <c r="G70" i="428"/>
  <c r="F70" i="428"/>
  <c r="E70" i="428"/>
  <c r="D70" i="428"/>
  <c r="C70" i="428"/>
  <c r="H66" i="428"/>
  <c r="E66" i="428"/>
  <c r="H65" i="428"/>
  <c r="E65" i="428"/>
  <c r="H64" i="428"/>
  <c r="E64" i="428"/>
  <c r="H63" i="428"/>
  <c r="E63" i="428"/>
  <c r="H62" i="428"/>
  <c r="G62" i="428"/>
  <c r="F62" i="428"/>
  <c r="D62" i="428"/>
  <c r="C62" i="428"/>
  <c r="H61" i="428"/>
  <c r="E61" i="428"/>
  <c r="H60" i="428"/>
  <c r="E60" i="428"/>
  <c r="H59" i="428"/>
  <c r="E59" i="428"/>
  <c r="H58" i="428"/>
  <c r="H57" i="428" s="1"/>
  <c r="E58" i="428"/>
  <c r="E57" i="428" s="1"/>
  <c r="G57" i="428"/>
  <c r="F57" i="428"/>
  <c r="D57" i="428"/>
  <c r="C57" i="428"/>
  <c r="H56" i="428"/>
  <c r="E56" i="428"/>
  <c r="H55" i="428"/>
  <c r="E55" i="428"/>
  <c r="H54" i="428"/>
  <c r="E54" i="428"/>
  <c r="H53" i="428"/>
  <c r="E53" i="428"/>
  <c r="H52" i="428"/>
  <c r="E52" i="428"/>
  <c r="H51" i="428"/>
  <c r="E51" i="428"/>
  <c r="H50" i="428"/>
  <c r="E50" i="428"/>
  <c r="H49" i="428"/>
  <c r="H48" i="428" s="1"/>
  <c r="E49" i="428"/>
  <c r="G48" i="428"/>
  <c r="F48" i="428"/>
  <c r="D48" i="428"/>
  <c r="D68" i="428" s="1"/>
  <c r="C48" i="428"/>
  <c r="C68" i="428" s="1"/>
  <c r="H40" i="428"/>
  <c r="E40" i="428"/>
  <c r="D39" i="428"/>
  <c r="H38" i="428"/>
  <c r="E38" i="428"/>
  <c r="G37" i="428"/>
  <c r="F37" i="428"/>
  <c r="D37" i="428"/>
  <c r="C37" i="428"/>
  <c r="E37" i="428" s="1"/>
  <c r="H36" i="428"/>
  <c r="E36" i="428"/>
  <c r="H35" i="428"/>
  <c r="E35" i="428"/>
  <c r="H34" i="428"/>
  <c r="E34" i="428"/>
  <c r="H33" i="428"/>
  <c r="E33" i="428"/>
  <c r="H32" i="428"/>
  <c r="E32" i="428"/>
  <c r="H31" i="428"/>
  <c r="H30" i="428" s="1"/>
  <c r="E31" i="428"/>
  <c r="G30" i="428"/>
  <c r="F30" i="428"/>
  <c r="D30" i="428"/>
  <c r="E30" i="428" s="1"/>
  <c r="C30" i="428"/>
  <c r="H29" i="428"/>
  <c r="E29" i="428"/>
  <c r="H28" i="428"/>
  <c r="E28" i="428"/>
  <c r="H27" i="428"/>
  <c r="E27" i="428"/>
  <c r="H26" i="428"/>
  <c r="E26" i="428"/>
  <c r="H25" i="428"/>
  <c r="E25" i="428"/>
  <c r="H24" i="428"/>
  <c r="E24" i="428"/>
  <c r="H23" i="428"/>
  <c r="E23" i="428"/>
  <c r="H22" i="428"/>
  <c r="E22" i="428"/>
  <c r="H21" i="428"/>
  <c r="E21" i="428"/>
  <c r="H20" i="428"/>
  <c r="E20" i="428"/>
  <c r="H19" i="428"/>
  <c r="E19" i="428"/>
  <c r="G17" i="428"/>
  <c r="F17" i="428"/>
  <c r="D17" i="428"/>
  <c r="C17" i="428"/>
  <c r="H17" i="428" s="1"/>
  <c r="H15" i="428"/>
  <c r="E15" i="428"/>
  <c r="H14" i="428"/>
  <c r="E14" i="428"/>
  <c r="H13" i="428"/>
  <c r="E13" i="428"/>
  <c r="H12" i="428"/>
  <c r="E12" i="428"/>
  <c r="H11" i="428"/>
  <c r="E11" i="428"/>
  <c r="H10" i="428"/>
  <c r="E10" i="428"/>
  <c r="D43" i="428" l="1"/>
  <c r="D73" i="428" s="1"/>
  <c r="E62" i="428"/>
  <c r="E78" i="428"/>
  <c r="E17" i="428"/>
  <c r="G68" i="428"/>
  <c r="E48" i="428"/>
  <c r="E68" i="428" s="1"/>
  <c r="F68" i="428"/>
  <c r="H68" i="428"/>
  <c r="H37" i="428"/>
  <c r="E62" i="427" l="1"/>
  <c r="D62" i="427"/>
  <c r="C62" i="427"/>
  <c r="E61" i="427"/>
  <c r="D61" i="427"/>
  <c r="C61" i="427"/>
  <c r="E60" i="427"/>
  <c r="D60" i="427"/>
  <c r="C60" i="427"/>
  <c r="E59" i="427"/>
  <c r="E58" i="427" s="1"/>
  <c r="D59" i="427"/>
  <c r="C59" i="427"/>
  <c r="C58" i="427" s="1"/>
  <c r="E57" i="427"/>
  <c r="D57" i="427"/>
  <c r="C57" i="427"/>
  <c r="E50" i="427"/>
  <c r="D50" i="427"/>
  <c r="C50" i="427"/>
  <c r="E48" i="427"/>
  <c r="D48" i="427"/>
  <c r="C48" i="427"/>
  <c r="E47" i="427"/>
  <c r="D47" i="427"/>
  <c r="C47" i="427"/>
  <c r="E46" i="427"/>
  <c r="D46" i="427"/>
  <c r="C46" i="427"/>
  <c r="E36" i="427"/>
  <c r="D36" i="427"/>
  <c r="C36" i="427"/>
  <c r="E33" i="427"/>
  <c r="D33" i="427"/>
  <c r="D39" i="427" s="1"/>
  <c r="C33" i="427"/>
  <c r="C39" i="427" s="1"/>
  <c r="E24" i="427"/>
  <c r="D24" i="427"/>
  <c r="C24" i="427"/>
  <c r="E15" i="427"/>
  <c r="D15" i="427"/>
  <c r="C15" i="427"/>
  <c r="C63" i="427" l="1"/>
  <c r="C64" i="427" s="1"/>
  <c r="D58" i="427"/>
  <c r="D63" i="427" s="1"/>
  <c r="D64" i="427" s="1"/>
  <c r="E63" i="427"/>
  <c r="E64" i="427" s="1"/>
  <c r="E39" i="427"/>
  <c r="G77" i="426"/>
  <c r="G76" i="426"/>
  <c r="F77" i="426"/>
  <c r="F76" i="426"/>
  <c r="G69" i="426"/>
  <c r="G68" i="426" s="1"/>
  <c r="G66" i="426"/>
  <c r="G64" i="426"/>
  <c r="G63" i="426" s="1"/>
  <c r="F66" i="426"/>
  <c r="F64" i="426"/>
  <c r="G28" i="426"/>
  <c r="G27" i="426" s="1"/>
  <c r="G18" i="426"/>
  <c r="G16" i="426"/>
  <c r="D51" i="426"/>
  <c r="D55" i="426"/>
  <c r="D54" i="426"/>
  <c r="D53" i="426"/>
  <c r="D52" i="426"/>
  <c r="D50" i="426"/>
  <c r="D28" i="426"/>
  <c r="D26" i="426"/>
  <c r="D22" i="426"/>
  <c r="D21" i="426"/>
  <c r="D20" i="426"/>
  <c r="D17" i="426" s="1"/>
  <c r="D19" i="426"/>
  <c r="D13" i="426"/>
  <c r="D11" i="426"/>
  <c r="D10" i="426"/>
  <c r="G75" i="426"/>
  <c r="F75" i="426"/>
  <c r="F63" i="426"/>
  <c r="G57" i="426"/>
  <c r="F57" i="426"/>
  <c r="G42" i="426"/>
  <c r="F42" i="426"/>
  <c r="D41" i="426"/>
  <c r="G38" i="426"/>
  <c r="F38" i="426"/>
  <c r="D38" i="426"/>
  <c r="C38" i="426"/>
  <c r="G31" i="426"/>
  <c r="F31" i="426"/>
  <c r="D31" i="426"/>
  <c r="C31" i="426"/>
  <c r="D25" i="426"/>
  <c r="G23" i="426"/>
  <c r="F23" i="426"/>
  <c r="G19" i="426"/>
  <c r="F19" i="426"/>
  <c r="D9" i="426"/>
  <c r="G9" i="426" l="1"/>
  <c r="G47" i="426"/>
  <c r="G59" i="426" s="1"/>
  <c r="D60" i="426"/>
  <c r="G79" i="426"/>
  <c r="D47" i="426"/>
  <c r="D29" i="425"/>
  <c r="C29" i="425"/>
  <c r="C28" i="425" s="1"/>
  <c r="E37" i="425"/>
  <c r="H37" i="425" s="1"/>
  <c r="E36" i="425"/>
  <c r="H36" i="425" s="1"/>
  <c r="E35" i="425"/>
  <c r="H35" i="425" s="1"/>
  <c r="E34" i="425"/>
  <c r="H34" i="425" s="1"/>
  <c r="G33" i="425"/>
  <c r="F33" i="425"/>
  <c r="D33" i="425"/>
  <c r="C33" i="425"/>
  <c r="E32" i="425"/>
  <c r="H32" i="425" s="1"/>
  <c r="E31" i="425"/>
  <c r="H31" i="425" s="1"/>
  <c r="E30" i="425"/>
  <c r="H30" i="425" s="1"/>
  <c r="D28" i="425"/>
  <c r="E27" i="425"/>
  <c r="H27" i="425" s="1"/>
  <c r="E26" i="425"/>
  <c r="H26" i="425" s="1"/>
  <c r="G25" i="425"/>
  <c r="F25" i="425"/>
  <c r="D25" i="425"/>
  <c r="C25" i="425"/>
  <c r="E24" i="425"/>
  <c r="H24" i="425" s="1"/>
  <c r="E23" i="425"/>
  <c r="H23" i="425" s="1"/>
  <c r="E22" i="425"/>
  <c r="H22" i="425" s="1"/>
  <c r="G21" i="425"/>
  <c r="F21" i="425"/>
  <c r="D21" i="425"/>
  <c r="C21" i="425"/>
  <c r="E21" i="425" s="1"/>
  <c r="H21" i="425" s="1"/>
  <c r="E20" i="425"/>
  <c r="H20" i="425" s="1"/>
  <c r="E19" i="425"/>
  <c r="H19" i="425" s="1"/>
  <c r="E18" i="425"/>
  <c r="H18" i="425" s="1"/>
  <c r="E17" i="425"/>
  <c r="H17" i="425" s="1"/>
  <c r="E15" i="425"/>
  <c r="H15" i="425" s="1"/>
  <c r="E14" i="425"/>
  <c r="H14" i="425" s="1"/>
  <c r="E13" i="425"/>
  <c r="H13" i="425" s="1"/>
  <c r="E11" i="425"/>
  <c r="H11" i="425" s="1"/>
  <c r="E10" i="425"/>
  <c r="H10" i="425" s="1"/>
  <c r="G9" i="425"/>
  <c r="F9" i="425"/>
  <c r="D9" i="425"/>
  <c r="C9" i="425"/>
  <c r="E9" i="425" l="1"/>
  <c r="H9" i="425" s="1"/>
  <c r="E25" i="425"/>
  <c r="H25" i="425" s="1"/>
  <c r="D62" i="426"/>
  <c r="E29" i="425"/>
  <c r="G81" i="426"/>
  <c r="E28" i="425"/>
  <c r="E33" i="425"/>
  <c r="H33" i="425" s="1"/>
  <c r="D15" i="424" l="1"/>
  <c r="D20" i="424" s="1"/>
  <c r="E34" i="424"/>
  <c r="E33" i="424"/>
  <c r="E32" i="424"/>
  <c r="E31" i="424"/>
  <c r="E30" i="424"/>
  <c r="E17" i="424"/>
  <c r="E16" i="424"/>
  <c r="E14" i="424"/>
  <c r="E13" i="424"/>
  <c r="E12" i="424"/>
  <c r="E11" i="424"/>
  <c r="E10" i="424"/>
  <c r="E9" i="424"/>
  <c r="D27" i="423" l="1"/>
  <c r="C27" i="423"/>
  <c r="D12" i="423"/>
  <c r="D29" i="423" s="1"/>
  <c r="C12" i="423"/>
  <c r="C29" i="423" s="1"/>
  <c r="E19" i="421" l="1"/>
  <c r="C18" i="421"/>
  <c r="E18" i="421" s="1"/>
  <c r="D24" i="421"/>
  <c r="E23" i="421"/>
  <c r="E22" i="421"/>
  <c r="D15" i="421"/>
  <c r="C15" i="421"/>
  <c r="E14" i="421"/>
  <c r="E13" i="421"/>
  <c r="E12" i="421"/>
  <c r="E11" i="421"/>
  <c r="E10" i="421"/>
  <c r="E9" i="421"/>
  <c r="E8" i="421"/>
  <c r="E15" i="421" l="1"/>
  <c r="D26" i="421"/>
  <c r="E44" i="420" l="1"/>
  <c r="H44" i="420" s="1"/>
  <c r="E43" i="420"/>
  <c r="H43" i="420" s="1"/>
  <c r="E42" i="420"/>
  <c r="H42" i="420" s="1"/>
  <c r="E41" i="420"/>
  <c r="H41" i="420" s="1"/>
  <c r="G40" i="420"/>
  <c r="F40" i="420"/>
  <c r="D40" i="420"/>
  <c r="C40" i="420"/>
  <c r="E38" i="420"/>
  <c r="H38" i="420" s="1"/>
  <c r="E37" i="420"/>
  <c r="H37" i="420" s="1"/>
  <c r="H36" i="420"/>
  <c r="E36" i="420"/>
  <c r="E35" i="420"/>
  <c r="H35" i="420" s="1"/>
  <c r="E34" i="420"/>
  <c r="H34" i="420" s="1"/>
  <c r="E33" i="420"/>
  <c r="H33" i="420" s="1"/>
  <c r="E32" i="420"/>
  <c r="H32" i="420" s="1"/>
  <c r="E31" i="420"/>
  <c r="H31" i="420" s="1"/>
  <c r="E27" i="420"/>
  <c r="H27" i="420" s="1"/>
  <c r="E26" i="420"/>
  <c r="H26" i="420" s="1"/>
  <c r="H25" i="420"/>
  <c r="E25" i="420"/>
  <c r="E24" i="420"/>
  <c r="H24" i="420" s="1"/>
  <c r="E23" i="420"/>
  <c r="H23" i="420" s="1"/>
  <c r="E22" i="420"/>
  <c r="H22" i="420" s="1"/>
  <c r="E21" i="420"/>
  <c r="H21" i="420" s="1"/>
  <c r="G20" i="420"/>
  <c r="F20" i="420"/>
  <c r="D20" i="420"/>
  <c r="C20" i="420"/>
  <c r="E20" i="420" s="1"/>
  <c r="H20" i="420" s="1"/>
  <c r="H18" i="420"/>
  <c r="E18" i="420"/>
  <c r="E17" i="420"/>
  <c r="H17" i="420" s="1"/>
  <c r="E16" i="420"/>
  <c r="H16" i="420" s="1"/>
  <c r="E15" i="420"/>
  <c r="H15" i="420" s="1"/>
  <c r="E14" i="420"/>
  <c r="H14" i="420" s="1"/>
  <c r="E13" i="420"/>
  <c r="H13" i="420" s="1"/>
  <c r="E12" i="420"/>
  <c r="H12" i="420" s="1"/>
  <c r="E11" i="420"/>
  <c r="H11" i="420" s="1"/>
  <c r="G10" i="420"/>
  <c r="F10" i="420"/>
  <c r="D10" i="420"/>
  <c r="C10" i="420"/>
  <c r="E10" i="420" s="1"/>
  <c r="H10" i="420" s="1"/>
  <c r="E40" i="420" l="1"/>
  <c r="H40" i="420" s="1"/>
  <c r="C42" i="419" l="1"/>
  <c r="C38" i="419"/>
  <c r="C36" i="419"/>
  <c r="E36" i="419" s="1"/>
  <c r="C35" i="419"/>
  <c r="C34" i="419"/>
  <c r="E34" i="419" s="1"/>
  <c r="C32" i="419"/>
  <c r="C31" i="419"/>
  <c r="E31" i="419" s="1"/>
  <c r="C30" i="419"/>
  <c r="C29" i="419"/>
  <c r="E29" i="419" s="1"/>
  <c r="C28" i="419"/>
  <c r="C23" i="419"/>
  <c r="C22" i="419"/>
  <c r="E22" i="419" s="1"/>
  <c r="C19" i="419"/>
  <c r="C18" i="419"/>
  <c r="E18" i="419" s="1"/>
  <c r="C14" i="419"/>
  <c r="E14" i="419" s="1"/>
  <c r="C13" i="419"/>
  <c r="E13" i="419" s="1"/>
  <c r="C12" i="419"/>
  <c r="C10" i="419"/>
  <c r="E10" i="419" s="1"/>
  <c r="H80" i="419"/>
  <c r="H79" i="419"/>
  <c r="E79" i="419"/>
  <c r="E78" i="419"/>
  <c r="H78" i="419" s="1"/>
  <c r="E77" i="419"/>
  <c r="H77" i="419" s="1"/>
  <c r="E76" i="419"/>
  <c r="H76" i="419" s="1"/>
  <c r="E75" i="419"/>
  <c r="H75" i="419" s="1"/>
  <c r="E74" i="419"/>
  <c r="H74" i="419" s="1"/>
  <c r="G73" i="419"/>
  <c r="F73" i="419"/>
  <c r="D73" i="419"/>
  <c r="C73" i="419"/>
  <c r="E72" i="419"/>
  <c r="H72" i="419" s="1"/>
  <c r="E71" i="419"/>
  <c r="H71" i="419" s="1"/>
  <c r="E70" i="419"/>
  <c r="H70" i="419" s="1"/>
  <c r="G69" i="419"/>
  <c r="F69" i="419"/>
  <c r="D69" i="419"/>
  <c r="C69" i="419"/>
  <c r="E69" i="419" s="1"/>
  <c r="H69" i="419" s="1"/>
  <c r="E68" i="419"/>
  <c r="H68" i="419" s="1"/>
  <c r="E67" i="419"/>
  <c r="H67" i="419" s="1"/>
  <c r="E66" i="419"/>
  <c r="H66" i="419" s="1"/>
  <c r="E65" i="419"/>
  <c r="H65" i="419" s="1"/>
  <c r="E64" i="419"/>
  <c r="H64" i="419" s="1"/>
  <c r="E63" i="419"/>
  <c r="H63" i="419" s="1"/>
  <c r="E62" i="419"/>
  <c r="H62" i="419" s="1"/>
  <c r="G61" i="419"/>
  <c r="F61" i="419"/>
  <c r="D61" i="419"/>
  <c r="C61" i="419"/>
  <c r="E61" i="419" s="1"/>
  <c r="H61" i="419" s="1"/>
  <c r="E60" i="419"/>
  <c r="H60" i="419" s="1"/>
  <c r="E59" i="419"/>
  <c r="H59" i="419" s="1"/>
  <c r="E58" i="419"/>
  <c r="H58" i="419" s="1"/>
  <c r="G57" i="419"/>
  <c r="F57" i="419"/>
  <c r="D57" i="419"/>
  <c r="C57" i="419"/>
  <c r="E57" i="419" s="1"/>
  <c r="H57" i="419" s="1"/>
  <c r="E56" i="419"/>
  <c r="H56" i="419" s="1"/>
  <c r="E55" i="419"/>
  <c r="H55" i="419" s="1"/>
  <c r="E54" i="419"/>
  <c r="H54" i="419" s="1"/>
  <c r="E53" i="419"/>
  <c r="H53" i="419" s="1"/>
  <c r="E52" i="419"/>
  <c r="H52" i="419" s="1"/>
  <c r="E51" i="419"/>
  <c r="H51" i="419" s="1"/>
  <c r="E50" i="419"/>
  <c r="H50" i="419" s="1"/>
  <c r="E49" i="419"/>
  <c r="H49" i="419" s="1"/>
  <c r="E48" i="419"/>
  <c r="H48" i="419" s="1"/>
  <c r="G47" i="419"/>
  <c r="F47" i="419"/>
  <c r="D47" i="419"/>
  <c r="C47" i="419"/>
  <c r="E47" i="419" s="1"/>
  <c r="H47" i="419" s="1"/>
  <c r="E46" i="419"/>
  <c r="H46" i="419" s="1"/>
  <c r="E45" i="419"/>
  <c r="H45" i="419" s="1"/>
  <c r="E44" i="419"/>
  <c r="H44" i="419" s="1"/>
  <c r="E43" i="419"/>
  <c r="H43" i="419" s="1"/>
  <c r="E42" i="419"/>
  <c r="H41" i="419"/>
  <c r="E41" i="419"/>
  <c r="H40" i="419"/>
  <c r="E40" i="419"/>
  <c r="H39" i="419"/>
  <c r="E39" i="419"/>
  <c r="E38" i="419"/>
  <c r="D37" i="419"/>
  <c r="C37" i="419"/>
  <c r="E37" i="419" s="1"/>
  <c r="E33" i="419"/>
  <c r="H33" i="419" s="1"/>
  <c r="H26" i="419"/>
  <c r="E26" i="419"/>
  <c r="E25" i="419"/>
  <c r="H25" i="419" s="1"/>
  <c r="E24" i="419"/>
  <c r="H24" i="419" s="1"/>
  <c r="E23" i="419"/>
  <c r="E21" i="419"/>
  <c r="H21" i="419" s="1"/>
  <c r="E20" i="419"/>
  <c r="H20" i="419" s="1"/>
  <c r="D17" i="419"/>
  <c r="E16" i="419"/>
  <c r="H16" i="419" s="1"/>
  <c r="E15" i="419"/>
  <c r="H15" i="419" s="1"/>
  <c r="E11" i="419"/>
  <c r="H11" i="419" s="1"/>
  <c r="E12" i="419" l="1"/>
  <c r="E35" i="419"/>
  <c r="E28" i="419"/>
  <c r="E19" i="419"/>
  <c r="D9" i="419"/>
  <c r="E32" i="419"/>
  <c r="D27" i="419"/>
  <c r="D81" i="419" s="1"/>
  <c r="E30" i="419"/>
  <c r="C27" i="419"/>
  <c r="C81" i="419" s="1"/>
  <c r="C17" i="419"/>
  <c r="E17" i="419" s="1"/>
  <c r="C9" i="419"/>
  <c r="E9" i="419" s="1"/>
  <c r="E73" i="419"/>
  <c r="H73" i="419" s="1"/>
  <c r="E27" i="419" l="1"/>
  <c r="E81" i="419"/>
  <c r="D16" i="418"/>
  <c r="C16" i="418"/>
  <c r="E18" i="418"/>
  <c r="H18" i="418" s="1"/>
  <c r="E14" i="418"/>
  <c r="H14" i="418" s="1"/>
  <c r="E12" i="418"/>
  <c r="H12" i="418" s="1"/>
  <c r="E16" i="418" l="1"/>
  <c r="E20" i="417" l="1"/>
  <c r="H20" i="417" s="1"/>
  <c r="E18" i="417"/>
  <c r="H18" i="417" s="1"/>
  <c r="E16" i="417"/>
  <c r="H16" i="417" s="1"/>
  <c r="E14" i="417"/>
  <c r="H14" i="417" s="1"/>
  <c r="E12" i="417"/>
  <c r="H12" i="417" s="1"/>
  <c r="E18" i="416" l="1"/>
  <c r="H18" i="416" s="1"/>
  <c r="E17" i="416"/>
  <c r="H17" i="416" s="1"/>
  <c r="E16" i="416"/>
  <c r="H16" i="416" s="1"/>
  <c r="E15" i="416"/>
  <c r="H15" i="416" s="1"/>
  <c r="E14" i="416"/>
  <c r="H14" i="416" s="1"/>
  <c r="E13" i="416"/>
  <c r="H13" i="416" s="1"/>
  <c r="E12" i="416"/>
  <c r="H12" i="416" s="1"/>
  <c r="E11" i="416"/>
  <c r="H11" i="416" s="1"/>
  <c r="D34" i="415" l="1"/>
  <c r="H33" i="415"/>
  <c r="H32" i="415"/>
  <c r="E32" i="415"/>
  <c r="H31" i="415"/>
  <c r="E31" i="415"/>
  <c r="H30" i="415"/>
  <c r="E30" i="415"/>
  <c r="H29" i="415"/>
  <c r="E29" i="415"/>
  <c r="H28" i="415"/>
  <c r="E28" i="415"/>
  <c r="H27" i="415"/>
  <c r="E27" i="415"/>
  <c r="H26" i="415"/>
  <c r="E26" i="415"/>
  <c r="H25" i="415"/>
  <c r="E25" i="415"/>
  <c r="H24" i="415"/>
  <c r="E24" i="415"/>
  <c r="H23" i="415"/>
  <c r="E23" i="415"/>
  <c r="H22" i="415"/>
  <c r="E22" i="415"/>
  <c r="H21" i="415"/>
  <c r="E21" i="415"/>
  <c r="H20" i="415"/>
  <c r="E20" i="415"/>
  <c r="H19" i="415"/>
  <c r="E19" i="415"/>
  <c r="H18" i="415"/>
  <c r="E18" i="415"/>
  <c r="H17" i="415"/>
  <c r="E17" i="415"/>
  <c r="H16" i="415"/>
  <c r="E16" i="415"/>
  <c r="H15" i="415"/>
  <c r="E15" i="415"/>
  <c r="H14" i="415"/>
  <c r="E14" i="415"/>
  <c r="H13" i="415"/>
  <c r="E13" i="415"/>
  <c r="H12" i="415"/>
  <c r="E12" i="415"/>
  <c r="H11" i="415"/>
  <c r="E11" i="415"/>
  <c r="H10" i="415"/>
  <c r="E10" i="415"/>
  <c r="D24" i="414" l="1"/>
  <c r="H22" i="414"/>
  <c r="E22" i="414"/>
  <c r="H20" i="414"/>
  <c r="E20" i="414"/>
  <c r="H19" i="414"/>
  <c r="E19" i="414"/>
  <c r="D18" i="414"/>
  <c r="H16" i="414"/>
  <c r="E16" i="414"/>
  <c r="H15" i="414"/>
  <c r="E15" i="414"/>
  <c r="H14" i="414"/>
  <c r="E14" i="414"/>
  <c r="H13" i="414"/>
  <c r="E13" i="414"/>
  <c r="H12" i="414"/>
  <c r="E12" i="414"/>
  <c r="H11" i="414"/>
  <c r="E11" i="414"/>
  <c r="H10" i="414"/>
  <c r="E10" i="414"/>
  <c r="H9" i="414"/>
  <c r="E9" i="414"/>
  <c r="G8" i="414"/>
  <c r="H8" i="414" s="1"/>
  <c r="F8" i="414"/>
  <c r="D8" i="414"/>
  <c r="C8" i="414"/>
  <c r="E8" i="414" s="1"/>
  <c r="D26" i="414" l="1"/>
  <c r="D18" i="413"/>
  <c r="H16" i="413"/>
  <c r="E16" i="413"/>
  <c r="H15" i="413"/>
  <c r="E15" i="413"/>
  <c r="H13" i="413"/>
  <c r="E13" i="413"/>
  <c r="H12" i="413"/>
  <c r="E12" i="413"/>
  <c r="H11" i="413"/>
  <c r="E11" i="413"/>
  <c r="H10" i="413"/>
  <c r="E10" i="413"/>
  <c r="H9" i="413"/>
  <c r="E9" i="413"/>
  <c r="H8" i="413"/>
  <c r="E8" i="413"/>
  <c r="B2" i="412" l="1"/>
  <c r="F26" i="412"/>
  <c r="E26" i="412"/>
  <c r="F21" i="412"/>
  <c r="F32" i="412" s="1"/>
  <c r="E21" i="412"/>
  <c r="E32" i="412" s="1"/>
  <c r="F13" i="412"/>
  <c r="E13" i="412"/>
  <c r="F8" i="412"/>
  <c r="F19" i="412" s="1"/>
  <c r="E8" i="412"/>
  <c r="E19" i="412" s="1"/>
  <c r="B2" i="411" l="1"/>
  <c r="F28" i="411"/>
  <c r="G28" i="411" s="1"/>
  <c r="F27" i="411"/>
  <c r="G27" i="411" s="1"/>
  <c r="F26" i="411"/>
  <c r="G26" i="411" s="1"/>
  <c r="F16" i="411"/>
  <c r="G16" i="411" s="1"/>
  <c r="F15" i="411"/>
  <c r="G15" i="411" s="1"/>
  <c r="F14" i="411"/>
  <c r="G14" i="411" s="1"/>
  <c r="D64" i="410" l="1"/>
  <c r="D59" i="410"/>
  <c r="D54" i="410"/>
  <c r="D45" i="410"/>
  <c r="D46" i="410"/>
  <c r="D44" i="410"/>
  <c r="D41" i="410"/>
  <c r="D42" i="410"/>
  <c r="D40" i="410"/>
  <c r="D35" i="410"/>
  <c r="D27" i="410"/>
  <c r="D25" i="410"/>
  <c r="D23" i="410"/>
  <c r="D21" i="410"/>
  <c r="D22" i="410"/>
  <c r="D20" i="410"/>
  <c r="D18" i="410"/>
  <c r="D17" i="410"/>
  <c r="D15" i="410"/>
  <c r="B2" i="410"/>
  <c r="D56" i="410"/>
  <c r="C56" i="410"/>
  <c r="D51" i="410"/>
  <c r="C51" i="410"/>
  <c r="D50" i="410" l="1"/>
  <c r="D55" i="410"/>
  <c r="D60" i="410"/>
  <c r="D43" i="410"/>
  <c r="D39" i="410"/>
  <c r="D19" i="410"/>
  <c r="D8" i="410"/>
  <c r="B2" i="409"/>
  <c r="D47" i="410" l="1"/>
  <c r="D36" i="410"/>
  <c r="D62" i="410" s="1"/>
  <c r="B2" i="408" l="1"/>
  <c r="E35" i="408"/>
  <c r="C9" i="408" l="1"/>
  <c r="G39" i="408"/>
  <c r="G38" i="408"/>
  <c r="F37" i="408"/>
  <c r="G37" i="408" s="1"/>
  <c r="G35" i="408"/>
  <c r="G34" i="408"/>
  <c r="G33" i="408"/>
  <c r="G28" i="408"/>
  <c r="G27" i="408"/>
  <c r="G26" i="408"/>
  <c r="C25" i="408"/>
  <c r="G25" i="408" s="1"/>
  <c r="G17" i="408"/>
  <c r="G16" i="408"/>
  <c r="G15" i="408"/>
  <c r="G9" i="408"/>
  <c r="G47" i="407" l="1"/>
  <c r="H47" i="407"/>
  <c r="H46" i="407"/>
  <c r="H45" i="407" s="1"/>
  <c r="G46" i="407"/>
  <c r="G45" i="407" s="1"/>
  <c r="H39" i="407"/>
  <c r="H36" i="407"/>
  <c r="G36" i="407"/>
  <c r="H34" i="407"/>
  <c r="G34" i="407"/>
  <c r="H12" i="407"/>
  <c r="H9" i="407"/>
  <c r="H8" i="407"/>
  <c r="D24" i="407"/>
  <c r="D23" i="407"/>
  <c r="D22" i="407"/>
  <c r="D21" i="407"/>
  <c r="D20" i="407"/>
  <c r="D19" i="407"/>
  <c r="D14" i="407"/>
  <c r="D9" i="407"/>
  <c r="D10" i="407"/>
  <c r="D8" i="407"/>
  <c r="H38" i="407"/>
  <c r="H27" i="407"/>
  <c r="G27" i="407"/>
  <c r="D16" i="407" l="1"/>
  <c r="H17" i="407"/>
  <c r="H29" i="407" s="1"/>
  <c r="H33" i="407"/>
  <c r="H49" i="407" s="1"/>
  <c r="H51" i="407" s="1"/>
  <c r="G33" i="407"/>
  <c r="D30" i="407"/>
  <c r="D32" i="407"/>
  <c r="F58" i="406" l="1"/>
  <c r="F53" i="406"/>
  <c r="F37" i="406"/>
  <c r="F35" i="406"/>
  <c r="F33" i="406"/>
  <c r="F29" i="406"/>
  <c r="F30" i="406"/>
  <c r="F31" i="406"/>
  <c r="F28" i="406" s="1"/>
  <c r="F23" i="406"/>
  <c r="F19" i="406"/>
  <c r="F17" i="406"/>
  <c r="F15" i="406" s="1"/>
  <c r="F14" i="406"/>
  <c r="F7" i="406" s="1"/>
  <c r="F59" i="406"/>
  <c r="E59" i="406"/>
  <c r="F46" i="406"/>
  <c r="E46" i="406"/>
  <c r="F42" i="406"/>
  <c r="E42" i="406"/>
  <c r="F52" i="406" l="1"/>
  <c r="F18" i="406"/>
  <c r="F25" i="406" s="1"/>
  <c r="F32" i="406"/>
  <c r="F62" i="406"/>
  <c r="F64" i="406" l="1"/>
  <c r="G28" i="237" l="1"/>
  <c r="G27" i="237"/>
  <c r="G26" i="237"/>
  <c r="G22" i="237"/>
  <c r="F35" i="429" l="1"/>
  <c r="H35" i="429" s="1"/>
  <c r="F32" i="419"/>
  <c r="H32" i="419" s="1"/>
  <c r="F31" i="429"/>
  <c r="F28" i="419"/>
  <c r="F37" i="429"/>
  <c r="H37" i="429" s="1"/>
  <c r="F34" i="419"/>
  <c r="H34" i="419" s="1"/>
  <c r="F32" i="429"/>
  <c r="H32" i="429" s="1"/>
  <c r="F29" i="419"/>
  <c r="H29" i="419" s="1"/>
  <c r="F33" i="429"/>
  <c r="H33" i="429" s="1"/>
  <c r="F30" i="419"/>
  <c r="H30" i="419" s="1"/>
  <c r="F38" i="429"/>
  <c r="H38" i="429" s="1"/>
  <c r="F35" i="419"/>
  <c r="H35" i="419" s="1"/>
  <c r="F34" i="429"/>
  <c r="H34" i="429" s="1"/>
  <c r="F31" i="419"/>
  <c r="H31" i="419" s="1"/>
  <c r="F39" i="429"/>
  <c r="H39" i="429" s="1"/>
  <c r="F36" i="419"/>
  <c r="H36" i="419" s="1"/>
  <c r="F27" i="419" l="1"/>
  <c r="H27" i="419" s="1"/>
  <c r="H28" i="419"/>
  <c r="F30" i="429"/>
  <c r="H31" i="429"/>
  <c r="H30" i="429" s="1"/>
  <c r="J37" i="228" l="1"/>
  <c r="I37" i="228"/>
  <c r="J32" i="228"/>
  <c r="J27" i="228"/>
  <c r="I27" i="228"/>
  <c r="E42" i="228"/>
  <c r="E22" i="228"/>
  <c r="J20" i="228"/>
  <c r="E44" i="228" l="1"/>
  <c r="J42" i="228"/>
  <c r="G19" i="237"/>
  <c r="C36" i="82"/>
  <c r="I36" i="52" s="1"/>
  <c r="C32" i="82"/>
  <c r="H36" i="52" s="1"/>
  <c r="C25" i="82"/>
  <c r="F36" i="52" s="1"/>
  <c r="C21" i="82"/>
  <c r="E36" i="52" s="1"/>
  <c r="F26" i="429" l="1"/>
  <c r="H26" i="429" s="1"/>
  <c r="F23" i="419"/>
  <c r="H23" i="419" s="1"/>
  <c r="G14" i="237" l="1"/>
  <c r="G13" i="237"/>
  <c r="F16" i="429" l="1"/>
  <c r="H16" i="429" s="1"/>
  <c r="F13" i="419"/>
  <c r="H13" i="419" s="1"/>
  <c r="F17" i="429"/>
  <c r="H17" i="429" s="1"/>
  <c r="F14" i="419"/>
  <c r="H14" i="419" s="1"/>
  <c r="E130" i="307"/>
  <c r="F130" i="307"/>
  <c r="G130" i="307"/>
  <c r="H130" i="307"/>
  <c r="I130" i="307"/>
  <c r="J130" i="307"/>
  <c r="K130" i="307"/>
  <c r="L130" i="307"/>
  <c r="M130" i="307"/>
  <c r="N130" i="307"/>
  <c r="O130" i="307"/>
  <c r="P130" i="307"/>
  <c r="D130" i="307"/>
  <c r="E58" i="307"/>
  <c r="F58" i="307"/>
  <c r="G58" i="307"/>
  <c r="H58" i="307"/>
  <c r="I58" i="307"/>
  <c r="J58" i="307"/>
  <c r="K58" i="307"/>
  <c r="L58" i="307"/>
  <c r="M58" i="307"/>
  <c r="N58" i="307"/>
  <c r="O58" i="307"/>
  <c r="P58" i="307"/>
  <c r="D58" i="307"/>
  <c r="D132" i="307" l="1"/>
  <c r="M132" i="307"/>
  <c r="I132" i="307"/>
  <c r="P132" i="307"/>
  <c r="D68" i="211" s="1"/>
  <c r="H132" i="307"/>
  <c r="L132" i="307"/>
  <c r="E132" i="307"/>
  <c r="O132" i="307"/>
  <c r="K132" i="307"/>
  <c r="G132" i="307"/>
  <c r="N132" i="307"/>
  <c r="J132" i="307"/>
  <c r="F132" i="307"/>
  <c r="S12" i="186" l="1"/>
  <c r="S11" i="186"/>
  <c r="S13" i="186"/>
  <c r="S123" i="186" l="1"/>
  <c r="S122" i="186" s="1"/>
  <c r="P123" i="186"/>
  <c r="P122" i="186" s="1"/>
  <c r="R122" i="186"/>
  <c r="O122" i="186"/>
  <c r="N122" i="186"/>
  <c r="M122" i="186"/>
  <c r="L122" i="186"/>
  <c r="K122" i="186"/>
  <c r="J122" i="186"/>
  <c r="I122" i="186"/>
  <c r="H122" i="186"/>
  <c r="G122" i="186"/>
  <c r="F122" i="186"/>
  <c r="E122" i="186"/>
  <c r="D122" i="186"/>
  <c r="S112" i="186"/>
  <c r="S111" i="186" s="1"/>
  <c r="P112" i="186"/>
  <c r="P111" i="186" s="1"/>
  <c r="R111" i="186"/>
  <c r="O111" i="186"/>
  <c r="N111" i="186"/>
  <c r="M111" i="186"/>
  <c r="L111" i="186"/>
  <c r="K111" i="186"/>
  <c r="J111" i="186"/>
  <c r="I111" i="186"/>
  <c r="H111" i="186"/>
  <c r="G111" i="186"/>
  <c r="F111" i="186"/>
  <c r="E111" i="186"/>
  <c r="D111" i="186"/>
  <c r="S94" i="186"/>
  <c r="S93" i="186" s="1"/>
  <c r="P94" i="186"/>
  <c r="P93" i="186" s="1"/>
  <c r="R93" i="186"/>
  <c r="O93" i="186"/>
  <c r="N93" i="186"/>
  <c r="M93" i="186"/>
  <c r="L93" i="186"/>
  <c r="K93" i="186"/>
  <c r="J93" i="186"/>
  <c r="I93" i="186"/>
  <c r="H93" i="186"/>
  <c r="G93" i="186"/>
  <c r="F93" i="186"/>
  <c r="E93" i="186"/>
  <c r="D93" i="186"/>
  <c r="S82" i="186"/>
  <c r="S81" i="186" s="1"/>
  <c r="P82" i="186"/>
  <c r="P81" i="186" s="1"/>
  <c r="R81" i="186"/>
  <c r="O81" i="186"/>
  <c r="N81" i="186"/>
  <c r="M81" i="186"/>
  <c r="L81" i="186"/>
  <c r="K81" i="186"/>
  <c r="J81" i="186"/>
  <c r="I81" i="186"/>
  <c r="H81" i="186"/>
  <c r="G81" i="186"/>
  <c r="F81" i="186"/>
  <c r="E81" i="186"/>
  <c r="D81" i="186"/>
  <c r="Q122" i="186" l="1"/>
  <c r="Q93" i="186"/>
  <c r="Q111" i="186"/>
  <c r="Q81" i="186"/>
  <c r="D58" i="292" l="1"/>
  <c r="C52" i="426" s="1"/>
  <c r="D32" i="228"/>
  <c r="C21" i="407" s="1"/>
  <c r="E17" i="230" l="1"/>
  <c r="D11" i="411" s="1"/>
  <c r="F17" i="230"/>
  <c r="E11" i="411" s="1"/>
  <c r="E18" i="230"/>
  <c r="D12" i="411" s="1"/>
  <c r="F18" i="230"/>
  <c r="E12" i="411" s="1"/>
  <c r="E19" i="230"/>
  <c r="D13" i="411" s="1"/>
  <c r="F19" i="230"/>
  <c r="E13" i="411" s="1"/>
  <c r="E22" i="230"/>
  <c r="D17" i="411" s="1"/>
  <c r="F22" i="230"/>
  <c r="E17" i="411" s="1"/>
  <c r="E26" i="230"/>
  <c r="D20" i="411" s="1"/>
  <c r="F26" i="230"/>
  <c r="E20" i="411" s="1"/>
  <c r="E10" i="411" l="1"/>
  <c r="D10" i="411"/>
  <c r="F15" i="230"/>
  <c r="E15" i="230"/>
  <c r="K7" i="311" l="1"/>
  <c r="K8" i="311"/>
  <c r="K9" i="311"/>
  <c r="K10" i="311"/>
  <c r="K11" i="311"/>
  <c r="K12" i="311"/>
  <c r="K13" i="311"/>
  <c r="K14" i="311"/>
  <c r="K15" i="311"/>
  <c r="K16" i="311"/>
  <c r="K17" i="311"/>
  <c r="K18" i="311"/>
  <c r="P153" i="186" l="1"/>
  <c r="P52" i="186" l="1"/>
  <c r="C56" i="28" l="1"/>
  <c r="S153" i="186"/>
  <c r="E21" i="421" l="1"/>
  <c r="C24" i="421"/>
  <c r="D17" i="230"/>
  <c r="D18" i="230"/>
  <c r="D19" i="230"/>
  <c r="G20" i="230"/>
  <c r="D21" i="230"/>
  <c r="G21" i="230" s="1"/>
  <c r="D22" i="230"/>
  <c r="C26" i="421" l="1"/>
  <c r="E26" i="421" s="1"/>
  <c r="E24" i="421"/>
  <c r="G22" i="230"/>
  <c r="C17" i="411"/>
  <c r="F17" i="411" s="1"/>
  <c r="G17" i="411" s="1"/>
  <c r="G19" i="230"/>
  <c r="C13" i="411"/>
  <c r="F13" i="411" s="1"/>
  <c r="G13" i="411" s="1"/>
  <c r="G18" i="230"/>
  <c r="C12" i="411"/>
  <c r="F12" i="411" s="1"/>
  <c r="G12" i="411" s="1"/>
  <c r="G17" i="230"/>
  <c r="C11" i="411"/>
  <c r="D15" i="230"/>
  <c r="G15" i="230" s="1"/>
  <c r="C10" i="411" l="1"/>
  <c r="F11" i="411"/>
  <c r="G11" i="411" s="1"/>
  <c r="P10" i="186"/>
  <c r="P11" i="186"/>
  <c r="P12" i="186"/>
  <c r="P13" i="186"/>
  <c r="P14" i="186"/>
  <c r="P15" i="186"/>
  <c r="P16" i="186"/>
  <c r="P17" i="186"/>
  <c r="P18" i="186"/>
  <c r="F10" i="411" l="1"/>
  <c r="G10" i="411" s="1"/>
  <c r="G47" i="232" l="1"/>
  <c r="H47" i="232" s="1"/>
  <c r="G46" i="232"/>
  <c r="H46" i="232" s="1"/>
  <c r="G28" i="232"/>
  <c r="G27" i="232"/>
  <c r="E44" i="232"/>
  <c r="F44" i="232"/>
  <c r="D44" i="232"/>
  <c r="E26" i="232"/>
  <c r="F26" i="232"/>
  <c r="D26" i="232"/>
  <c r="H28" i="232" l="1"/>
  <c r="F21" i="408"/>
  <c r="G21" i="408" s="1"/>
  <c r="H27" i="232"/>
  <c r="H26" i="232" s="1"/>
  <c r="F20" i="408"/>
  <c r="H44" i="232"/>
  <c r="G44" i="232"/>
  <c r="G26" i="232"/>
  <c r="G37" i="232"/>
  <c r="D37" i="232"/>
  <c r="H42" i="232"/>
  <c r="F19" i="408" l="1"/>
  <c r="G20" i="408"/>
  <c r="M52" i="211"/>
  <c r="L52" i="211"/>
  <c r="G19" i="408" l="1"/>
  <c r="F23" i="408"/>
  <c r="F41" i="408" s="1"/>
  <c r="E67" i="328" l="1"/>
  <c r="E51" i="328" l="1"/>
  <c r="G51" i="328" s="1"/>
  <c r="E68" i="328"/>
  <c r="E70" i="328" s="1"/>
  <c r="E52" i="328"/>
  <c r="G52" i="328" s="1"/>
  <c r="E53" i="328"/>
  <c r="F53" i="328" s="1"/>
  <c r="E49" i="328"/>
  <c r="F49" i="328" s="1"/>
  <c r="E33" i="328"/>
  <c r="G33" i="328" s="1"/>
  <c r="E32" i="328"/>
  <c r="G32" i="328" s="1"/>
  <c r="E31" i="328"/>
  <c r="F31" i="328" s="1"/>
  <c r="E30" i="328"/>
  <c r="G30" i="328" s="1"/>
  <c r="E29" i="328"/>
  <c r="G29" i="328" s="1"/>
  <c r="E28" i="328"/>
  <c r="F28" i="328" s="1"/>
  <c r="E18" i="328"/>
  <c r="G18" i="328" s="1"/>
  <c r="E23" i="328"/>
  <c r="G23" i="328" s="1"/>
  <c r="E21" i="328"/>
  <c r="F21" i="328" s="1"/>
  <c r="E19" i="328"/>
  <c r="G19" i="328" s="1"/>
  <c r="E16" i="328"/>
  <c r="E15" i="328"/>
  <c r="E14" i="328"/>
  <c r="G71" i="328"/>
  <c r="F71" i="328"/>
  <c r="C70" i="328"/>
  <c r="G69" i="328"/>
  <c r="F69" i="328"/>
  <c r="G67" i="328"/>
  <c r="F67" i="328"/>
  <c r="G66" i="328"/>
  <c r="F66" i="328"/>
  <c r="G65" i="328"/>
  <c r="F65" i="328"/>
  <c r="E59" i="328"/>
  <c r="C59" i="328"/>
  <c r="C55" i="328"/>
  <c r="G54" i="328"/>
  <c r="F54" i="328"/>
  <c r="G50" i="328"/>
  <c r="F50" i="328"/>
  <c r="E41" i="328"/>
  <c r="C41" i="328"/>
  <c r="G40" i="328"/>
  <c r="G39" i="328"/>
  <c r="C36" i="328"/>
  <c r="G34" i="328"/>
  <c r="F34" i="328"/>
  <c r="G22" i="328"/>
  <c r="F22" i="328"/>
  <c r="C25" i="328"/>
  <c r="G17" i="328"/>
  <c r="F17" i="328"/>
  <c r="G28" i="328" l="1"/>
  <c r="C61" i="328"/>
  <c r="C72" i="328" s="1"/>
  <c r="G41" i="328"/>
  <c r="F41" i="328"/>
  <c r="C43" i="328"/>
  <c r="F68" i="328"/>
  <c r="G68" i="328"/>
  <c r="F70" i="328"/>
  <c r="F52" i="328"/>
  <c r="G53" i="328"/>
  <c r="F33" i="328"/>
  <c r="F32" i="328"/>
  <c r="G31" i="328"/>
  <c r="F30" i="328"/>
  <c r="F29" i="328"/>
  <c r="E36" i="328"/>
  <c r="F23" i="328"/>
  <c r="G21" i="328"/>
  <c r="F19" i="328"/>
  <c r="F18" i="328"/>
  <c r="E25" i="328"/>
  <c r="F20" i="328"/>
  <c r="G49" i="328"/>
  <c r="F51" i="328"/>
  <c r="G20" i="328"/>
  <c r="E55" i="328"/>
  <c r="E61" i="328" s="1"/>
  <c r="E72" i="328" s="1"/>
  <c r="C78" i="328" l="1"/>
  <c r="G75" i="328"/>
  <c r="F74" i="328"/>
  <c r="E43" i="328"/>
  <c r="E78" i="328" s="1"/>
  <c r="G76" i="328" l="1"/>
  <c r="I14" i="52" l="1"/>
  <c r="C27" i="51"/>
  <c r="I21" i="227" l="1"/>
  <c r="I17" i="227"/>
  <c r="G31" i="233" l="1"/>
  <c r="C23" i="410" s="1"/>
  <c r="E33" i="406"/>
  <c r="G35" i="233"/>
  <c r="C27" i="410" s="1"/>
  <c r="E37" i="406"/>
  <c r="F48" i="211" l="1"/>
  <c r="E48" i="211"/>
  <c r="L37" i="211" l="1"/>
  <c r="F41" i="211" s="1"/>
  <c r="L26" i="211"/>
  <c r="F34" i="211" s="1"/>
  <c r="G34" i="211" l="1"/>
  <c r="G31" i="237" l="1"/>
  <c r="H30" i="241" s="1"/>
  <c r="G30" i="237"/>
  <c r="H14" i="237"/>
  <c r="H13" i="237"/>
  <c r="F30" i="230"/>
  <c r="E25" i="411" s="1"/>
  <c r="E30" i="230"/>
  <c r="D25" i="411" s="1"/>
  <c r="F29" i="230"/>
  <c r="E24" i="411" s="1"/>
  <c r="E29" i="230"/>
  <c r="D24" i="411" s="1"/>
  <c r="F28" i="230"/>
  <c r="E23" i="411" s="1"/>
  <c r="E28" i="230"/>
  <c r="D23" i="411" s="1"/>
  <c r="F27" i="230"/>
  <c r="E22" i="411" s="1"/>
  <c r="E27" i="230"/>
  <c r="D22" i="411" s="1"/>
  <c r="C72" i="247"/>
  <c r="D19" i="411" l="1"/>
  <c r="E19" i="411"/>
  <c r="E8" i="411" s="1"/>
  <c r="H30" i="237"/>
  <c r="F41" i="429"/>
  <c r="F38" i="419"/>
  <c r="H31" i="237"/>
  <c r="I30" i="241" s="1"/>
  <c r="F45" i="429"/>
  <c r="H45" i="429" s="1"/>
  <c r="F29" i="425"/>
  <c r="F42" i="419"/>
  <c r="H42" i="419" s="1"/>
  <c r="F16" i="418"/>
  <c r="H16" i="418" s="1"/>
  <c r="G16" i="429"/>
  <c r="G13" i="419"/>
  <c r="G17" i="429"/>
  <c r="G14" i="419"/>
  <c r="E24" i="230"/>
  <c r="F24" i="230"/>
  <c r="F13" i="230" s="1"/>
  <c r="C62" i="82"/>
  <c r="C61" i="82"/>
  <c r="C60" i="82"/>
  <c r="C47" i="51"/>
  <c r="D8" i="411" l="1"/>
  <c r="G45" i="429"/>
  <c r="G29" i="425"/>
  <c r="G28" i="425" s="1"/>
  <c r="G42" i="419"/>
  <c r="G16" i="418"/>
  <c r="F28" i="425"/>
  <c r="H28" i="425" s="1"/>
  <c r="H29" i="425"/>
  <c r="F40" i="429"/>
  <c r="H41" i="429"/>
  <c r="H40" i="429" s="1"/>
  <c r="H38" i="419"/>
  <c r="F37" i="419"/>
  <c r="H37" i="419" s="1"/>
  <c r="G41" i="429"/>
  <c r="G38" i="419"/>
  <c r="E13" i="230"/>
  <c r="C13" i="18"/>
  <c r="C21" i="52"/>
  <c r="E251" i="307"/>
  <c r="G249" i="307"/>
  <c r="G247" i="307"/>
  <c r="E229" i="307"/>
  <c r="F229" i="307"/>
  <c r="G229" i="307"/>
  <c r="H229" i="307"/>
  <c r="I229" i="307"/>
  <c r="J229" i="307"/>
  <c r="K229" i="307"/>
  <c r="L229" i="307"/>
  <c r="M229" i="307"/>
  <c r="N229" i="307"/>
  <c r="O229" i="307"/>
  <c r="P229" i="307"/>
  <c r="E24" i="234" s="1"/>
  <c r="D229" i="307"/>
  <c r="O224" i="307"/>
  <c r="N224" i="307"/>
  <c r="M224" i="307"/>
  <c r="L224" i="307"/>
  <c r="K224" i="307"/>
  <c r="J224" i="307"/>
  <c r="I224" i="307"/>
  <c r="H224" i="307"/>
  <c r="G224" i="307"/>
  <c r="F224" i="307"/>
  <c r="E224" i="307"/>
  <c r="D224" i="307"/>
  <c r="P223" i="307"/>
  <c r="P222" i="307"/>
  <c r="P221" i="307"/>
  <c r="P220" i="307"/>
  <c r="S149" i="186"/>
  <c r="S57" i="186"/>
  <c r="S56" i="186"/>
  <c r="S55" i="186"/>
  <c r="S152" i="186"/>
  <c r="S150" i="186"/>
  <c r="P152" i="186"/>
  <c r="P151" i="186"/>
  <c r="P150" i="186"/>
  <c r="P149" i="186"/>
  <c r="R154" i="186"/>
  <c r="D154" i="186"/>
  <c r="C17" i="413" l="1"/>
  <c r="C25" i="414"/>
  <c r="E52" i="234"/>
  <c r="C41" i="428"/>
  <c r="P148" i="186"/>
  <c r="P154" i="186" s="1"/>
  <c r="G37" i="419"/>
  <c r="G40" i="429"/>
  <c r="P224" i="307"/>
  <c r="N21" i="52"/>
  <c r="P21" i="52" s="1"/>
  <c r="L21" i="52"/>
  <c r="Q154" i="186"/>
  <c r="S151" i="186"/>
  <c r="S148" i="186" s="1"/>
  <c r="E41" i="428" l="1"/>
  <c r="C39" i="428"/>
  <c r="E39" i="428" s="1"/>
  <c r="E25" i="414"/>
  <c r="C24" i="414"/>
  <c r="E24" i="414" s="1"/>
  <c r="C18" i="424"/>
  <c r="E18" i="424" s="1"/>
  <c r="C9" i="415"/>
  <c r="E9" i="415" s="1"/>
  <c r="E17" i="413"/>
  <c r="S154" i="186"/>
  <c r="B17" i="18"/>
  <c r="E21" i="234"/>
  <c r="C16" i="428" s="1"/>
  <c r="E16" i="428" l="1"/>
  <c r="E43" i="428" s="1"/>
  <c r="E73" i="428" s="1"/>
  <c r="C43" i="428"/>
  <c r="C73" i="428" s="1"/>
  <c r="P57" i="186"/>
  <c r="P56" i="186"/>
  <c r="P55" i="186"/>
  <c r="Q54" i="186"/>
  <c r="R54" i="186"/>
  <c r="C11" i="82" s="1"/>
  <c r="C33" i="52" s="1"/>
  <c r="L33" i="52" s="1"/>
  <c r="S54" i="186"/>
  <c r="E54" i="186"/>
  <c r="F54" i="186"/>
  <c r="G54" i="186"/>
  <c r="H54" i="186"/>
  <c r="I54" i="186"/>
  <c r="J54" i="186"/>
  <c r="K54" i="186"/>
  <c r="L54" i="186"/>
  <c r="M54" i="186"/>
  <c r="N54" i="186"/>
  <c r="O54" i="186"/>
  <c r="D9" i="186"/>
  <c r="N33" i="52" l="1"/>
  <c r="P33" i="52" s="1"/>
  <c r="P54" i="186"/>
  <c r="O19" i="52" l="1"/>
  <c r="N14" i="52"/>
  <c r="N15" i="52"/>
  <c r="N16" i="52"/>
  <c r="N17" i="52"/>
  <c r="N36" i="52"/>
  <c r="N37" i="52"/>
  <c r="D65" i="211"/>
  <c r="H21" i="237" l="1"/>
  <c r="G31" i="429" l="1"/>
  <c r="G28" i="419"/>
  <c r="H23" i="237"/>
  <c r="G33" i="429" l="1"/>
  <c r="G30" i="419"/>
  <c r="H25" i="237"/>
  <c r="H24" i="237"/>
  <c r="G34" i="429" l="1"/>
  <c r="G31" i="419"/>
  <c r="G35" i="429"/>
  <c r="G32" i="419"/>
  <c r="C5" i="292"/>
  <c r="S17" i="186" l="1"/>
  <c r="I35" i="292" l="1"/>
  <c r="I29" i="292"/>
  <c r="I26" i="292" s="1"/>
  <c r="I25" i="292"/>
  <c r="F18" i="426" s="1"/>
  <c r="I24" i="292"/>
  <c r="F16" i="426" s="1"/>
  <c r="I19" i="292"/>
  <c r="I18" i="292"/>
  <c r="D46" i="292"/>
  <c r="D42" i="292"/>
  <c r="D36" i="292"/>
  <c r="C28" i="426" s="1"/>
  <c r="D34" i="292"/>
  <c r="C26" i="426" s="1"/>
  <c r="D30" i="292"/>
  <c r="C22" i="426" s="1"/>
  <c r="D29" i="292"/>
  <c r="C21" i="426" s="1"/>
  <c r="D28" i="292"/>
  <c r="C20" i="426" s="1"/>
  <c r="D27" i="292"/>
  <c r="C19" i="426" s="1"/>
  <c r="D21" i="292"/>
  <c r="C13" i="426" s="1"/>
  <c r="D19" i="292"/>
  <c r="C11" i="426" s="1"/>
  <c r="D18" i="292"/>
  <c r="C10" i="426" s="1"/>
  <c r="J83" i="292"/>
  <c r="I83" i="292"/>
  <c r="J75" i="292"/>
  <c r="J69" i="292"/>
  <c r="I69" i="292"/>
  <c r="J63" i="292"/>
  <c r="I49" i="292"/>
  <c r="I45" i="292"/>
  <c r="I38" i="292"/>
  <c r="I30" i="292"/>
  <c r="I78" i="292"/>
  <c r="F70" i="426" s="1"/>
  <c r="I77" i="292"/>
  <c r="F69" i="426" s="1"/>
  <c r="E66" i="292"/>
  <c r="D61" i="292"/>
  <c r="C55" i="426" s="1"/>
  <c r="D60" i="292"/>
  <c r="C54" i="426" s="1"/>
  <c r="D59" i="292"/>
  <c r="C53" i="426" s="1"/>
  <c r="I57" i="292"/>
  <c r="I63" i="292" s="1"/>
  <c r="D57" i="292"/>
  <c r="C51" i="426" s="1"/>
  <c r="D56" i="292"/>
  <c r="C50" i="426" s="1"/>
  <c r="C6" i="292"/>
  <c r="D45" i="292" l="1"/>
  <c r="C42" i="426"/>
  <c r="C41" i="426" s="1"/>
  <c r="C9" i="426"/>
  <c r="F68" i="426"/>
  <c r="F79" i="426" s="1"/>
  <c r="I34" i="292"/>
  <c r="F28" i="426"/>
  <c r="F27" i="426" s="1"/>
  <c r="F9" i="426"/>
  <c r="C60" i="426"/>
  <c r="C25" i="426"/>
  <c r="C17" i="426"/>
  <c r="D33" i="292"/>
  <c r="D25" i="292"/>
  <c r="J88" i="292"/>
  <c r="I75" i="292"/>
  <c r="I88" i="292" s="1"/>
  <c r="I17" i="292"/>
  <c r="D17" i="292"/>
  <c r="J52" i="292"/>
  <c r="J65" i="292" s="1"/>
  <c r="E51" i="292"/>
  <c r="E68" i="292" s="1"/>
  <c r="D66" i="292"/>
  <c r="C47" i="426" l="1"/>
  <c r="C62" i="426" s="1"/>
  <c r="I52" i="292"/>
  <c r="I65" i="292" s="1"/>
  <c r="I90" i="292" s="1"/>
  <c r="F47" i="426"/>
  <c r="F59" i="426" s="1"/>
  <c r="F81" i="426" s="1"/>
  <c r="J90" i="292"/>
  <c r="D51" i="292"/>
  <c r="D68" i="292" s="1"/>
  <c r="C10" i="407" l="1"/>
  <c r="C56" i="82" l="1"/>
  <c r="I19" i="227" s="1"/>
  <c r="C49" i="82"/>
  <c r="C35" i="28"/>
  <c r="F13" i="237"/>
  <c r="D25" i="239"/>
  <c r="C25" i="247"/>
  <c r="D29" i="229"/>
  <c r="D31" i="228"/>
  <c r="P128" i="186"/>
  <c r="P127" i="186"/>
  <c r="P126" i="186"/>
  <c r="P118" i="186"/>
  <c r="P117" i="186"/>
  <c r="P116" i="186"/>
  <c r="P115" i="186"/>
  <c r="P107" i="186"/>
  <c r="P106" i="186" s="1"/>
  <c r="P108" i="186" s="1"/>
  <c r="P101" i="186"/>
  <c r="P100" i="186"/>
  <c r="P99" i="186"/>
  <c r="P98" i="186"/>
  <c r="P97" i="186"/>
  <c r="P88" i="186"/>
  <c r="P87" i="186"/>
  <c r="P85" i="186"/>
  <c r="P76" i="186"/>
  <c r="P75" i="186"/>
  <c r="P74" i="186"/>
  <c r="P73" i="186"/>
  <c r="P215" i="186" s="1"/>
  <c r="P71" i="186"/>
  <c r="P51" i="186"/>
  <c r="P50" i="186"/>
  <c r="P49" i="186"/>
  <c r="P48" i="186"/>
  <c r="P47" i="186"/>
  <c r="P46" i="186"/>
  <c r="P45" i="186"/>
  <c r="P44" i="186"/>
  <c r="P43" i="186"/>
  <c r="P42" i="186"/>
  <c r="P41" i="186"/>
  <c r="P40" i="186"/>
  <c r="P39" i="186"/>
  <c r="P38" i="186"/>
  <c r="P37" i="186"/>
  <c r="P36" i="186"/>
  <c r="P35" i="186"/>
  <c r="F22" i="237" s="1"/>
  <c r="P34" i="186"/>
  <c r="P33" i="186"/>
  <c r="P32" i="186"/>
  <c r="P31" i="186"/>
  <c r="P30" i="186"/>
  <c r="P29" i="186"/>
  <c r="P26" i="186"/>
  <c r="P25" i="186"/>
  <c r="F18" i="237" s="1"/>
  <c r="P24" i="186"/>
  <c r="P23" i="186"/>
  <c r="P22" i="186"/>
  <c r="P21" i="186"/>
  <c r="C63" i="51"/>
  <c r="F49" i="234"/>
  <c r="P86" i="186"/>
  <c r="I6" i="247"/>
  <c r="B2" i="247"/>
  <c r="F25" i="239"/>
  <c r="D26" i="227"/>
  <c r="I17" i="228"/>
  <c r="I19" i="228"/>
  <c r="D18" i="228"/>
  <c r="D20" i="228"/>
  <c r="G21" i="234"/>
  <c r="A4" i="28"/>
  <c r="A3" i="82"/>
  <c r="A3" i="51"/>
  <c r="A6" i="52"/>
  <c r="S18" i="186"/>
  <c r="R9" i="186"/>
  <c r="C8" i="82" s="1"/>
  <c r="Q9" i="186"/>
  <c r="B9" i="148" s="1"/>
  <c r="E9" i="186"/>
  <c r="F9" i="186"/>
  <c r="G9" i="186"/>
  <c r="H9" i="186"/>
  <c r="I9" i="186"/>
  <c r="J9" i="186"/>
  <c r="K9" i="186"/>
  <c r="L9" i="186"/>
  <c r="M9" i="186"/>
  <c r="N9" i="186"/>
  <c r="O9" i="186"/>
  <c r="A3" i="242"/>
  <c r="B5" i="239"/>
  <c r="B4" i="241"/>
  <c r="B6" i="238"/>
  <c r="B6" i="236"/>
  <c r="B6" i="235"/>
  <c r="B5" i="237"/>
  <c r="B5" i="234"/>
  <c r="E4" i="233"/>
  <c r="E3" i="233"/>
  <c r="C5" i="232"/>
  <c r="C6" i="231"/>
  <c r="C5" i="229"/>
  <c r="C5" i="230" s="1"/>
  <c r="C6" i="228"/>
  <c r="D53" i="247"/>
  <c r="D41" i="247"/>
  <c r="C26" i="247"/>
  <c r="D15" i="247"/>
  <c r="C13" i="247"/>
  <c r="C14" i="247"/>
  <c r="C12" i="247"/>
  <c r="C9" i="247"/>
  <c r="C8" i="247"/>
  <c r="C7" i="247"/>
  <c r="C6" i="247"/>
  <c r="C5" i="247"/>
  <c r="H15" i="239"/>
  <c r="H28" i="237"/>
  <c r="H27" i="237"/>
  <c r="H26" i="237"/>
  <c r="H22" i="237"/>
  <c r="F23" i="237"/>
  <c r="F21" i="237"/>
  <c r="H19" i="237"/>
  <c r="G18" i="237"/>
  <c r="G17" i="237"/>
  <c r="G16" i="237"/>
  <c r="G12" i="237"/>
  <c r="G11" i="237"/>
  <c r="F14" i="237"/>
  <c r="F12" i="237"/>
  <c r="F11" i="237"/>
  <c r="I35" i="228"/>
  <c r="G40" i="407" s="1"/>
  <c r="I34" i="228"/>
  <c r="I24" i="229"/>
  <c r="J24" i="229" s="1"/>
  <c r="I18" i="228"/>
  <c r="D35" i="228"/>
  <c r="D34" i="228"/>
  <c r="D33" i="228"/>
  <c r="C22" i="407" s="1"/>
  <c r="D30" i="228"/>
  <c r="D17" i="228"/>
  <c r="C8" i="407" s="1"/>
  <c r="D30" i="230"/>
  <c r="C25" i="411" s="1"/>
  <c r="F25" i="411" s="1"/>
  <c r="G25" i="411" s="1"/>
  <c r="D28" i="230"/>
  <c r="C23" i="411" s="1"/>
  <c r="F23" i="411" s="1"/>
  <c r="G23" i="411" s="1"/>
  <c r="F21" i="411"/>
  <c r="G21" i="411" s="1"/>
  <c r="E31" i="242"/>
  <c r="D31" i="242"/>
  <c r="C31" i="242"/>
  <c r="G38" i="241"/>
  <c r="J38" i="241" s="1"/>
  <c r="G37" i="241"/>
  <c r="J37" i="241" s="1"/>
  <c r="G36" i="241"/>
  <c r="J36" i="241" s="1"/>
  <c r="G35" i="241"/>
  <c r="J35" i="241" s="1"/>
  <c r="I34" i="241"/>
  <c r="H34" i="241"/>
  <c r="F34" i="241"/>
  <c r="E34" i="241"/>
  <c r="G33" i="241"/>
  <c r="J33" i="241" s="1"/>
  <c r="G32" i="241"/>
  <c r="J32" i="241" s="1"/>
  <c r="G31" i="241"/>
  <c r="J31" i="241" s="1"/>
  <c r="G30" i="241"/>
  <c r="J30" i="241" s="1"/>
  <c r="I29" i="241"/>
  <c r="H29" i="241"/>
  <c r="F29" i="241"/>
  <c r="E29" i="241"/>
  <c r="G28" i="241"/>
  <c r="J28" i="241" s="1"/>
  <c r="G27" i="241"/>
  <c r="J27" i="241" s="1"/>
  <c r="I26" i="241"/>
  <c r="H26" i="241"/>
  <c r="F26" i="241"/>
  <c r="E26" i="241"/>
  <c r="G25" i="241"/>
  <c r="J25" i="241" s="1"/>
  <c r="G24" i="241"/>
  <c r="J24" i="241" s="1"/>
  <c r="G23" i="241"/>
  <c r="J23" i="241" s="1"/>
  <c r="I22" i="241"/>
  <c r="H22" i="241"/>
  <c r="F22" i="241"/>
  <c r="E22" i="241"/>
  <c r="G21" i="241"/>
  <c r="J21" i="241" s="1"/>
  <c r="G20" i="241"/>
  <c r="J20" i="241" s="1"/>
  <c r="G19" i="241"/>
  <c r="J19" i="241" s="1"/>
  <c r="G18" i="241"/>
  <c r="J18" i="241" s="1"/>
  <c r="G16" i="241"/>
  <c r="J16" i="241" s="1"/>
  <c r="G15" i="241"/>
  <c r="J15" i="241" s="1"/>
  <c r="G14" i="241"/>
  <c r="J14" i="241" s="1"/>
  <c r="G12" i="241"/>
  <c r="J12" i="241" s="1"/>
  <c r="G11" i="241"/>
  <c r="J11" i="241" s="1"/>
  <c r="I10" i="241"/>
  <c r="H10" i="241"/>
  <c r="F10" i="241"/>
  <c r="E10" i="241"/>
  <c r="F12" i="239"/>
  <c r="D12" i="239"/>
  <c r="H11" i="239"/>
  <c r="H10" i="239"/>
  <c r="F46" i="238"/>
  <c r="I46" i="238" s="1"/>
  <c r="F45" i="238"/>
  <c r="I45" i="238" s="1"/>
  <c r="F44" i="238"/>
  <c r="I44" i="238" s="1"/>
  <c r="F43" i="238"/>
  <c r="I43" i="238" s="1"/>
  <c r="H42" i="238"/>
  <c r="G42" i="238"/>
  <c r="E42" i="238"/>
  <c r="D42" i="238"/>
  <c r="F39" i="238"/>
  <c r="I39" i="238" s="1"/>
  <c r="F38" i="238"/>
  <c r="I38" i="238" s="1"/>
  <c r="F37" i="238"/>
  <c r="I37" i="238" s="1"/>
  <c r="F36" i="238"/>
  <c r="I36" i="238" s="1"/>
  <c r="F35" i="238"/>
  <c r="I35" i="238" s="1"/>
  <c r="F34" i="238"/>
  <c r="I34" i="238" s="1"/>
  <c r="F33" i="238"/>
  <c r="I33" i="238" s="1"/>
  <c r="F29" i="238"/>
  <c r="I29" i="238" s="1"/>
  <c r="F28" i="238"/>
  <c r="I28" i="238" s="1"/>
  <c r="F27" i="238"/>
  <c r="I27" i="238" s="1"/>
  <c r="F26" i="238"/>
  <c r="I26" i="238" s="1"/>
  <c r="F25" i="238"/>
  <c r="I25" i="238" s="1"/>
  <c r="F24" i="238"/>
  <c r="I24" i="238" s="1"/>
  <c r="F23" i="238"/>
  <c r="I23" i="238" s="1"/>
  <c r="H22" i="238"/>
  <c r="G22" i="238"/>
  <c r="E22" i="238"/>
  <c r="D22" i="238"/>
  <c r="F20" i="238"/>
  <c r="I20" i="238" s="1"/>
  <c r="F19" i="238"/>
  <c r="I19" i="238" s="1"/>
  <c r="F18" i="238"/>
  <c r="I18" i="238" s="1"/>
  <c r="F17" i="238"/>
  <c r="I17" i="238" s="1"/>
  <c r="F16" i="238"/>
  <c r="I16" i="238" s="1"/>
  <c r="F15" i="238"/>
  <c r="I15" i="238" s="1"/>
  <c r="F14" i="238"/>
  <c r="I14" i="238" s="1"/>
  <c r="F13" i="238"/>
  <c r="I13" i="238" s="1"/>
  <c r="H12" i="238"/>
  <c r="G12" i="238"/>
  <c r="E12" i="238"/>
  <c r="D12" i="238"/>
  <c r="F31" i="237"/>
  <c r="I31" i="237" s="1"/>
  <c r="F30" i="237"/>
  <c r="I30" i="237" s="1"/>
  <c r="H29" i="237"/>
  <c r="G29" i="424" s="1"/>
  <c r="G29" i="237"/>
  <c r="F29" i="424" s="1"/>
  <c r="E29" i="237"/>
  <c r="D29" i="424" s="1"/>
  <c r="D29" i="237"/>
  <c r="C29" i="424" s="1"/>
  <c r="E29" i="424" s="1"/>
  <c r="E20" i="237"/>
  <c r="D28" i="424" s="1"/>
  <c r="E15" i="237"/>
  <c r="D27" i="424" s="1"/>
  <c r="F16" i="236"/>
  <c r="I16" i="236" s="1"/>
  <c r="F14" i="236"/>
  <c r="I14" i="236" s="1"/>
  <c r="I20" i="235"/>
  <c r="I19" i="235"/>
  <c r="I18" i="235"/>
  <c r="I17" i="235"/>
  <c r="I16" i="235"/>
  <c r="I15" i="235"/>
  <c r="I14" i="235"/>
  <c r="I13" i="235"/>
  <c r="G52" i="234"/>
  <c r="G51" i="234" s="1"/>
  <c r="F51" i="234"/>
  <c r="E51" i="234"/>
  <c r="G49" i="234"/>
  <c r="F48" i="234"/>
  <c r="J47" i="234"/>
  <c r="G47" i="234"/>
  <c r="J44" i="234"/>
  <c r="G44" i="234"/>
  <c r="J43" i="234"/>
  <c r="G43" i="234"/>
  <c r="J42" i="234"/>
  <c r="G42" i="234"/>
  <c r="J41" i="234"/>
  <c r="G41" i="234"/>
  <c r="I40" i="234"/>
  <c r="H40" i="234"/>
  <c r="F40" i="234"/>
  <c r="E40" i="234"/>
  <c r="J39" i="234"/>
  <c r="G39" i="234"/>
  <c r="J38" i="234"/>
  <c r="G38" i="234"/>
  <c r="I37" i="234"/>
  <c r="H37" i="234"/>
  <c r="H33" i="234" s="1"/>
  <c r="D8" i="242" s="1"/>
  <c r="F37" i="234"/>
  <c r="F33" i="234" s="1"/>
  <c r="E37" i="234"/>
  <c r="J36" i="234"/>
  <c r="G36" i="234"/>
  <c r="J35" i="234"/>
  <c r="G35" i="234"/>
  <c r="J34" i="234"/>
  <c r="G34" i="234"/>
  <c r="G24" i="234"/>
  <c r="G23" i="234"/>
  <c r="H23" i="234" s="1"/>
  <c r="H49" i="234" s="1"/>
  <c r="J22" i="234"/>
  <c r="G22" i="234"/>
  <c r="J20" i="234"/>
  <c r="G20" i="234"/>
  <c r="J19" i="234"/>
  <c r="G19" i="234"/>
  <c r="I18" i="234"/>
  <c r="H18" i="234"/>
  <c r="F18" i="234"/>
  <c r="E18" i="234"/>
  <c r="J17" i="234"/>
  <c r="G17" i="234"/>
  <c r="J16" i="234"/>
  <c r="G16" i="234"/>
  <c r="I15" i="234"/>
  <c r="H15" i="234"/>
  <c r="F15" i="234"/>
  <c r="F26" i="234" s="1"/>
  <c r="E15" i="234"/>
  <c r="J14" i="234"/>
  <c r="G14" i="234"/>
  <c r="J13" i="234"/>
  <c r="G13" i="234"/>
  <c r="J12" i="234"/>
  <c r="G12" i="234"/>
  <c r="J11" i="234"/>
  <c r="G11" i="234"/>
  <c r="P33" i="233"/>
  <c r="O34" i="233"/>
  <c r="O28" i="233"/>
  <c r="P27" i="233"/>
  <c r="H26" i="233"/>
  <c r="P18" i="233"/>
  <c r="P13" i="233"/>
  <c r="H13" i="233"/>
  <c r="H41" i="232"/>
  <c r="H40" i="232"/>
  <c r="H35" i="232"/>
  <c r="H34" i="232"/>
  <c r="H33" i="232"/>
  <c r="G32" i="232"/>
  <c r="F32" i="232"/>
  <c r="E32" i="232"/>
  <c r="D32" i="232"/>
  <c r="H23" i="232"/>
  <c r="H22" i="232"/>
  <c r="E21" i="232"/>
  <c r="D19" i="232"/>
  <c r="D17" i="232"/>
  <c r="H16" i="232"/>
  <c r="D15" i="232"/>
  <c r="G14" i="232"/>
  <c r="F14" i="232"/>
  <c r="E14" i="232"/>
  <c r="I35" i="231"/>
  <c r="H35" i="231"/>
  <c r="I30" i="231"/>
  <c r="H30" i="231"/>
  <c r="I21" i="231"/>
  <c r="H21" i="231"/>
  <c r="I16" i="231"/>
  <c r="I27" i="231" s="1"/>
  <c r="H16" i="231"/>
  <c r="D33" i="230"/>
  <c r="G33" i="230" s="1"/>
  <c r="D32" i="230"/>
  <c r="G32" i="230" s="1"/>
  <c r="D31" i="230"/>
  <c r="G31" i="230" s="1"/>
  <c r="D29" i="230"/>
  <c r="C24" i="411" s="1"/>
  <c r="F24" i="411" s="1"/>
  <c r="G24" i="411" s="1"/>
  <c r="D26" i="230"/>
  <c r="I54" i="229"/>
  <c r="I53" i="229"/>
  <c r="C60" i="409" s="1"/>
  <c r="I41" i="229"/>
  <c r="C50" i="409" s="1"/>
  <c r="I39" i="229"/>
  <c r="D35" i="229"/>
  <c r="D34" i="229"/>
  <c r="D33" i="229"/>
  <c r="F20" i="232"/>
  <c r="D27" i="230"/>
  <c r="C22" i="411" s="1"/>
  <c r="F22" i="411" s="1"/>
  <c r="G22" i="411" s="1"/>
  <c r="J47" i="227"/>
  <c r="I47" i="227"/>
  <c r="J39" i="227"/>
  <c r="J32" i="227"/>
  <c r="I32" i="227"/>
  <c r="J27" i="227"/>
  <c r="I27" i="227"/>
  <c r="E25" i="227"/>
  <c r="E21" i="227"/>
  <c r="J16" i="227"/>
  <c r="J11" i="227"/>
  <c r="E11" i="227"/>
  <c r="C58" i="247"/>
  <c r="G38" i="233"/>
  <c r="D10" i="237"/>
  <c r="D19" i="229"/>
  <c r="D27" i="247"/>
  <c r="C22" i="247"/>
  <c r="G13" i="211"/>
  <c r="S16" i="186"/>
  <c r="E36" i="81"/>
  <c r="E40" i="81" s="1"/>
  <c r="D125" i="186"/>
  <c r="D129" i="186" s="1"/>
  <c r="E125" i="186"/>
  <c r="E129" i="186" s="1"/>
  <c r="F125" i="186"/>
  <c r="F129" i="186" s="1"/>
  <c r="G125" i="186"/>
  <c r="G129" i="186" s="1"/>
  <c r="H125" i="186"/>
  <c r="H129" i="186" s="1"/>
  <c r="I125" i="186"/>
  <c r="I129" i="186" s="1"/>
  <c r="J125" i="186"/>
  <c r="J129" i="186" s="1"/>
  <c r="K125" i="186"/>
  <c r="K129" i="186" s="1"/>
  <c r="L125" i="186"/>
  <c r="L129" i="186" s="1"/>
  <c r="M125" i="186"/>
  <c r="M129" i="186" s="1"/>
  <c r="N125" i="186"/>
  <c r="N129" i="186" s="1"/>
  <c r="O125" i="186"/>
  <c r="O129" i="186" s="1"/>
  <c r="D114" i="186"/>
  <c r="D119" i="186" s="1"/>
  <c r="E114" i="186"/>
  <c r="E119" i="186" s="1"/>
  <c r="F114" i="186"/>
  <c r="F119" i="186" s="1"/>
  <c r="G114" i="186"/>
  <c r="G119" i="186" s="1"/>
  <c r="H114" i="186"/>
  <c r="H119" i="186" s="1"/>
  <c r="I114" i="186"/>
  <c r="I119" i="186" s="1"/>
  <c r="J114" i="186"/>
  <c r="J119" i="186" s="1"/>
  <c r="K114" i="186"/>
  <c r="K119" i="186" s="1"/>
  <c r="L114" i="186"/>
  <c r="L119" i="186" s="1"/>
  <c r="M114" i="186"/>
  <c r="M119" i="186" s="1"/>
  <c r="N114" i="186"/>
  <c r="N119" i="186" s="1"/>
  <c r="O114" i="186"/>
  <c r="O119" i="186" s="1"/>
  <c r="D106" i="186"/>
  <c r="D108" i="186" s="1"/>
  <c r="E106" i="186"/>
  <c r="E108" i="186" s="1"/>
  <c r="F106" i="186"/>
  <c r="F108" i="186" s="1"/>
  <c r="G106" i="186"/>
  <c r="G108" i="186" s="1"/>
  <c r="H106" i="186"/>
  <c r="H108" i="186" s="1"/>
  <c r="I106" i="186"/>
  <c r="I108" i="186" s="1"/>
  <c r="J106" i="186"/>
  <c r="J108" i="186" s="1"/>
  <c r="K106" i="186"/>
  <c r="K108" i="186" s="1"/>
  <c r="L106" i="186"/>
  <c r="L108" i="186" s="1"/>
  <c r="M106" i="186"/>
  <c r="M108" i="186" s="1"/>
  <c r="N106" i="186"/>
  <c r="N108" i="186" s="1"/>
  <c r="O106" i="186"/>
  <c r="O108" i="186" s="1"/>
  <c r="R106" i="186"/>
  <c r="R108" i="186" s="1"/>
  <c r="D96" i="186"/>
  <c r="D102" i="186" s="1"/>
  <c r="E96" i="186"/>
  <c r="E102" i="186" s="1"/>
  <c r="F96" i="186"/>
  <c r="F102" i="186" s="1"/>
  <c r="G96" i="186"/>
  <c r="G102" i="186" s="1"/>
  <c r="H96" i="186"/>
  <c r="H102" i="186" s="1"/>
  <c r="I96" i="186"/>
  <c r="I102" i="186" s="1"/>
  <c r="J96" i="186"/>
  <c r="J102" i="186" s="1"/>
  <c r="K96" i="186"/>
  <c r="K102" i="186" s="1"/>
  <c r="L96" i="186"/>
  <c r="L102" i="186" s="1"/>
  <c r="M96" i="186"/>
  <c r="M102" i="186" s="1"/>
  <c r="N96" i="186"/>
  <c r="N102" i="186" s="1"/>
  <c r="O96" i="186"/>
  <c r="O102" i="186" s="1"/>
  <c r="D84" i="186"/>
  <c r="D89" i="186" s="1"/>
  <c r="E84" i="186"/>
  <c r="E89" i="186" s="1"/>
  <c r="F84" i="186"/>
  <c r="F89" i="186" s="1"/>
  <c r="G84" i="186"/>
  <c r="G89" i="186" s="1"/>
  <c r="H84" i="186"/>
  <c r="H89" i="186" s="1"/>
  <c r="I84" i="186"/>
  <c r="I89" i="186" s="1"/>
  <c r="J84" i="186"/>
  <c r="J89" i="186" s="1"/>
  <c r="K84" i="186"/>
  <c r="K89" i="186" s="1"/>
  <c r="L84" i="186"/>
  <c r="L89" i="186" s="1"/>
  <c r="M84" i="186"/>
  <c r="M89" i="186" s="1"/>
  <c r="N84" i="186"/>
  <c r="N89" i="186" s="1"/>
  <c r="O84" i="186"/>
  <c r="O89" i="186" s="1"/>
  <c r="R84" i="186"/>
  <c r="E70" i="186"/>
  <c r="F70" i="186"/>
  <c r="H70" i="186"/>
  <c r="I70" i="186"/>
  <c r="J70" i="186"/>
  <c r="K70" i="186"/>
  <c r="L70" i="186"/>
  <c r="M70" i="186"/>
  <c r="N70" i="186"/>
  <c r="O70" i="186"/>
  <c r="D28" i="186"/>
  <c r="E28" i="186"/>
  <c r="F28" i="186"/>
  <c r="G28" i="186"/>
  <c r="H28" i="186"/>
  <c r="I28" i="186"/>
  <c r="J28" i="186"/>
  <c r="K28" i="186"/>
  <c r="L28" i="186"/>
  <c r="M28" i="186"/>
  <c r="N28" i="186"/>
  <c r="O28" i="186"/>
  <c r="R28" i="186"/>
  <c r="D20" i="186"/>
  <c r="E20" i="186"/>
  <c r="F20" i="186"/>
  <c r="G20" i="186"/>
  <c r="H20" i="186"/>
  <c r="I20" i="186"/>
  <c r="J20" i="186"/>
  <c r="K20" i="186"/>
  <c r="L20" i="186"/>
  <c r="M20" i="186"/>
  <c r="N20" i="186"/>
  <c r="O20" i="186"/>
  <c r="S10" i="186"/>
  <c r="S14" i="186"/>
  <c r="S15" i="186"/>
  <c r="R125" i="186"/>
  <c r="R114" i="186"/>
  <c r="R119" i="186" s="1"/>
  <c r="R96" i="186"/>
  <c r="R102" i="186" s="1"/>
  <c r="Q106" i="186"/>
  <c r="Q108" i="186" s="1"/>
  <c r="Q125" i="186"/>
  <c r="Q129" i="186" s="1"/>
  <c r="Q114" i="186"/>
  <c r="Q119" i="186" s="1"/>
  <c r="Q28" i="186"/>
  <c r="Q84" i="186"/>
  <c r="Q89" i="186" s="1"/>
  <c r="S128" i="186"/>
  <c r="S127" i="186"/>
  <c r="S126" i="186"/>
  <c r="S118" i="186"/>
  <c r="S117" i="186"/>
  <c r="S116" i="186"/>
  <c r="S115" i="186"/>
  <c r="S86" i="186"/>
  <c r="S85" i="186"/>
  <c r="S76" i="186"/>
  <c r="S74" i="186"/>
  <c r="S52" i="186"/>
  <c r="S49" i="186"/>
  <c r="S48" i="186"/>
  <c r="S43" i="186"/>
  <c r="S41" i="186"/>
  <c r="S40" i="186"/>
  <c r="S39" i="186"/>
  <c r="S36" i="186"/>
  <c r="S32" i="186"/>
  <c r="S30" i="186"/>
  <c r="S29" i="186"/>
  <c r="S25" i="186"/>
  <c r="C27" i="28"/>
  <c r="C63" i="82"/>
  <c r="C24" i="18" s="1"/>
  <c r="D24" i="18" s="1"/>
  <c r="S98" i="186"/>
  <c r="S75" i="186"/>
  <c r="S45" i="186"/>
  <c r="S44" i="186"/>
  <c r="S34" i="186"/>
  <c r="S33" i="186"/>
  <c r="S88" i="186"/>
  <c r="S87" i="186"/>
  <c r="S50" i="186"/>
  <c r="S47" i="186"/>
  <c r="S38" i="186"/>
  <c r="S37" i="186"/>
  <c r="S35" i="186"/>
  <c r="S100" i="186"/>
  <c r="S97" i="186"/>
  <c r="S51" i="186"/>
  <c r="I17" i="52"/>
  <c r="I16" i="52"/>
  <c r="C57" i="51"/>
  <c r="S46" i="186"/>
  <c r="S42" i="186"/>
  <c r="S31" i="186"/>
  <c r="E19" i="81"/>
  <c r="E22" i="81" s="1"/>
  <c r="C9" i="51"/>
  <c r="C14" i="51"/>
  <c r="C18" i="51"/>
  <c r="G246" i="307" s="1"/>
  <c r="C23" i="51"/>
  <c r="C41" i="51"/>
  <c r="C13" i="52"/>
  <c r="N13" i="52" s="1"/>
  <c r="H13" i="52"/>
  <c r="H27" i="52" s="1"/>
  <c r="D14" i="52"/>
  <c r="F14" i="52"/>
  <c r="D15" i="52"/>
  <c r="E15" i="52"/>
  <c r="F15" i="52"/>
  <c r="G15" i="52"/>
  <c r="D16" i="52"/>
  <c r="E16" i="52"/>
  <c r="F16" i="52"/>
  <c r="G16" i="52"/>
  <c r="D17" i="52"/>
  <c r="E17" i="52"/>
  <c r="F17" i="52"/>
  <c r="G17" i="52"/>
  <c r="C35" i="52"/>
  <c r="N35" i="52" s="1"/>
  <c r="B25" i="81"/>
  <c r="B40" i="81"/>
  <c r="R70" i="186"/>
  <c r="C18" i="82" s="1"/>
  <c r="D37" i="52" s="1"/>
  <c r="R67" i="186"/>
  <c r="C17" i="82" s="1"/>
  <c r="R20" i="186"/>
  <c r="C9" i="82" s="1"/>
  <c r="S23" i="186"/>
  <c r="S22" i="186"/>
  <c r="S21" i="186"/>
  <c r="S24" i="186"/>
  <c r="S26" i="186"/>
  <c r="S71" i="186"/>
  <c r="S73" i="186"/>
  <c r="S101" i="186"/>
  <c r="S107" i="186"/>
  <c r="S106" i="186" s="1"/>
  <c r="S108" i="186" s="1"/>
  <c r="Q96" i="186"/>
  <c r="Q102" i="186" s="1"/>
  <c r="S99" i="186"/>
  <c r="Q20" i="186"/>
  <c r="B10" i="148" s="1"/>
  <c r="G67" i="186"/>
  <c r="N67" i="186"/>
  <c r="O67" i="186"/>
  <c r="F67" i="186"/>
  <c r="I67" i="186"/>
  <c r="L67" i="186"/>
  <c r="J67" i="186"/>
  <c r="E67" i="186"/>
  <c r="D67" i="186"/>
  <c r="D77" i="186" s="1"/>
  <c r="K67" i="186"/>
  <c r="H67" i="186"/>
  <c r="M67" i="186"/>
  <c r="P68" i="186"/>
  <c r="P67" i="186" s="1"/>
  <c r="Q67" i="186"/>
  <c r="S68" i="186"/>
  <c r="S67" i="186" s="1"/>
  <c r="L17" i="52" l="1"/>
  <c r="O17" i="52"/>
  <c r="L16" i="52"/>
  <c r="O16" i="52"/>
  <c r="P16" i="52" s="1"/>
  <c r="L15" i="52"/>
  <c r="O15" i="52"/>
  <c r="P15" i="52" s="1"/>
  <c r="O14" i="52"/>
  <c r="P14" i="52" s="1"/>
  <c r="L14" i="52"/>
  <c r="E34" i="229"/>
  <c r="D24" i="409" s="1"/>
  <c r="C24" i="409"/>
  <c r="H17" i="232"/>
  <c r="C10" i="408"/>
  <c r="G10" i="408" s="1"/>
  <c r="D143" i="186"/>
  <c r="E33" i="229"/>
  <c r="D23" i="409" s="1"/>
  <c r="C23" i="409"/>
  <c r="E35" i="229"/>
  <c r="D25" i="409" s="1"/>
  <c r="C25" i="409"/>
  <c r="J39" i="229"/>
  <c r="D48" i="409" s="1"/>
  <c r="C48" i="409"/>
  <c r="C47" i="409" s="1"/>
  <c r="H15" i="232"/>
  <c r="C8" i="408"/>
  <c r="G34" i="241"/>
  <c r="J34" i="241" s="1"/>
  <c r="C59" i="247"/>
  <c r="E35" i="406"/>
  <c r="E32" i="406" s="1"/>
  <c r="I18" i="229"/>
  <c r="G9" i="407"/>
  <c r="D28" i="229"/>
  <c r="E28" i="229" s="1"/>
  <c r="D18" i="409" s="1"/>
  <c r="C20" i="407"/>
  <c r="E19" i="406"/>
  <c r="I24" i="234"/>
  <c r="H24" i="234"/>
  <c r="C10" i="432"/>
  <c r="C9" i="432" s="1"/>
  <c r="C32" i="432" s="1"/>
  <c r="C26" i="424"/>
  <c r="J54" i="229"/>
  <c r="D61" i="409" s="1"/>
  <c r="C61" i="409"/>
  <c r="C59" i="409" s="1"/>
  <c r="E19" i="232"/>
  <c r="E30" i="232" s="1"/>
  <c r="D14" i="408"/>
  <c r="H20" i="232"/>
  <c r="E13" i="408"/>
  <c r="J18" i="229"/>
  <c r="D30" i="409" s="1"/>
  <c r="C30" i="409"/>
  <c r="G26" i="230"/>
  <c r="C20" i="411"/>
  <c r="D23" i="229"/>
  <c r="C14" i="407"/>
  <c r="A4" i="423"/>
  <c r="G38" i="429"/>
  <c r="G35" i="419"/>
  <c r="G39" i="429"/>
  <c r="G36" i="419"/>
  <c r="G32" i="429"/>
  <c r="G29" i="419"/>
  <c r="G37" i="429"/>
  <c r="G34" i="419"/>
  <c r="H16" i="237"/>
  <c r="F21" i="429"/>
  <c r="F18" i="419"/>
  <c r="H17" i="237"/>
  <c r="F22" i="429"/>
  <c r="H22" i="429" s="1"/>
  <c r="F19" i="419"/>
  <c r="H19" i="419" s="1"/>
  <c r="H18" i="237"/>
  <c r="F25" i="429"/>
  <c r="H25" i="429" s="1"/>
  <c r="F22" i="419"/>
  <c r="H22" i="419" s="1"/>
  <c r="G26" i="429"/>
  <c r="G23" i="419"/>
  <c r="H11" i="237"/>
  <c r="F13" i="429"/>
  <c r="F10" i="419"/>
  <c r="H12" i="237"/>
  <c r="F15" i="429"/>
  <c r="H15" i="429" s="1"/>
  <c r="F12" i="419"/>
  <c r="H12" i="419" s="1"/>
  <c r="I45" i="229"/>
  <c r="G39" i="407"/>
  <c r="G38" i="407" s="1"/>
  <c r="G49" i="407" s="1"/>
  <c r="I21" i="229"/>
  <c r="G12" i="407"/>
  <c r="I20" i="228"/>
  <c r="G8" i="407"/>
  <c r="D32" i="229"/>
  <c r="C24" i="407"/>
  <c r="D31" i="229"/>
  <c r="C23" i="407"/>
  <c r="E29" i="229"/>
  <c r="C19" i="409"/>
  <c r="D27" i="229"/>
  <c r="C17" i="409" s="1"/>
  <c r="C19" i="407"/>
  <c r="E19" i="229"/>
  <c r="D10" i="409" s="1"/>
  <c r="C10" i="409"/>
  <c r="D18" i="229"/>
  <c r="C9" i="407"/>
  <c r="C16" i="407" s="1"/>
  <c r="I32" i="228"/>
  <c r="I42" i="228" s="1"/>
  <c r="D30" i="229"/>
  <c r="C20" i="409" s="1"/>
  <c r="D42" i="228"/>
  <c r="D17" i="229"/>
  <c r="D22" i="228"/>
  <c r="I13" i="227"/>
  <c r="D36" i="52"/>
  <c r="O36" i="52" s="1"/>
  <c r="C16" i="82"/>
  <c r="C26" i="82"/>
  <c r="C24" i="82" s="1"/>
  <c r="C22" i="82"/>
  <c r="C20" i="82" s="1"/>
  <c r="R89" i="186"/>
  <c r="C37" i="82"/>
  <c r="C35" i="82" s="1"/>
  <c r="R129" i="186"/>
  <c r="C19" i="52"/>
  <c r="N19" i="52" s="1"/>
  <c r="P19" i="52" s="1"/>
  <c r="D24" i="230"/>
  <c r="G24" i="230" s="1"/>
  <c r="G13" i="230" s="1"/>
  <c r="G15" i="234"/>
  <c r="F22" i="238"/>
  <c r="J18" i="234"/>
  <c r="G10" i="241"/>
  <c r="J10" i="241" s="1"/>
  <c r="H27" i="231"/>
  <c r="H41" i="231"/>
  <c r="I22" i="238"/>
  <c r="J15" i="234"/>
  <c r="F17" i="237"/>
  <c r="I17" i="237" s="1"/>
  <c r="I12" i="227"/>
  <c r="F29" i="237"/>
  <c r="G248" i="307"/>
  <c r="G251" i="307" s="1"/>
  <c r="M59" i="186"/>
  <c r="I59" i="186"/>
  <c r="E59" i="186"/>
  <c r="C10" i="82"/>
  <c r="R59" i="186"/>
  <c r="E54" i="211" s="1"/>
  <c r="L59" i="186"/>
  <c r="H59" i="186"/>
  <c r="O59" i="186"/>
  <c r="K59" i="186"/>
  <c r="G59" i="186"/>
  <c r="N59" i="186"/>
  <c r="J59" i="186"/>
  <c r="F59" i="186"/>
  <c r="Q59" i="186"/>
  <c r="I23" i="234"/>
  <c r="H47" i="233"/>
  <c r="D29" i="247" s="1"/>
  <c r="D30" i="247" s="1"/>
  <c r="J37" i="234"/>
  <c r="H32" i="232"/>
  <c r="P17" i="52"/>
  <c r="C34" i="51"/>
  <c r="F19" i="232"/>
  <c r="F30" i="232" s="1"/>
  <c r="G19" i="232"/>
  <c r="P22" i="233"/>
  <c r="G28" i="230"/>
  <c r="K28" i="230" s="1"/>
  <c r="E32" i="227"/>
  <c r="C23" i="18"/>
  <c r="D23" i="18" s="1"/>
  <c r="C12" i="18"/>
  <c r="D12" i="18" s="1"/>
  <c r="I13" i="52"/>
  <c r="I27" i="52" s="1"/>
  <c r="F12" i="238"/>
  <c r="J40" i="234"/>
  <c r="F42" i="238"/>
  <c r="I42" i="238" s="1"/>
  <c r="I12" i="238"/>
  <c r="P39" i="233"/>
  <c r="G18" i="234"/>
  <c r="G40" i="234"/>
  <c r="E39" i="232"/>
  <c r="E26" i="234"/>
  <c r="C9" i="242" s="1"/>
  <c r="F26" i="237"/>
  <c r="I26" i="237" s="1"/>
  <c r="L77" i="186"/>
  <c r="L143" i="186" s="1"/>
  <c r="I77" i="186"/>
  <c r="I143" i="186" s="1"/>
  <c r="K77" i="186"/>
  <c r="K143" i="186" s="1"/>
  <c r="F27" i="237"/>
  <c r="I27" i="237" s="1"/>
  <c r="M77" i="186"/>
  <c r="M143" i="186" s="1"/>
  <c r="P125" i="186"/>
  <c r="P129" i="186" s="1"/>
  <c r="P28" i="186"/>
  <c r="F19" i="237"/>
  <c r="I19" i="237" s="1"/>
  <c r="N77" i="186"/>
  <c r="N143" i="186" s="1"/>
  <c r="F28" i="237"/>
  <c r="I28" i="237" s="1"/>
  <c r="J77" i="186"/>
  <c r="J143" i="186" s="1"/>
  <c r="I22" i="237"/>
  <c r="I40" i="227"/>
  <c r="C25" i="18"/>
  <c r="D25" i="18" s="1"/>
  <c r="C43" i="52"/>
  <c r="I5" i="247"/>
  <c r="P114" i="186"/>
  <c r="P119" i="186" s="1"/>
  <c r="P96" i="186"/>
  <c r="P102" i="186" s="1"/>
  <c r="P84" i="186"/>
  <c r="P89" i="186" s="1"/>
  <c r="O77" i="186"/>
  <c r="O143" i="186" s="1"/>
  <c r="H77" i="186"/>
  <c r="H143" i="186" s="1"/>
  <c r="F77" i="186"/>
  <c r="F143" i="186" s="1"/>
  <c r="E77" i="186"/>
  <c r="E143" i="186" s="1"/>
  <c r="D14" i="232"/>
  <c r="H14" i="232" s="1"/>
  <c r="I37" i="229"/>
  <c r="G29" i="230"/>
  <c r="H29" i="230" s="1"/>
  <c r="E48" i="234"/>
  <c r="K26" i="230"/>
  <c r="F27" i="239"/>
  <c r="K32" i="230"/>
  <c r="H32" i="230"/>
  <c r="I14" i="237"/>
  <c r="C25" i="52"/>
  <c r="C15" i="18"/>
  <c r="D15" i="18" s="1"/>
  <c r="D23" i="227"/>
  <c r="E17" i="406" s="1"/>
  <c r="E15" i="406" s="1"/>
  <c r="I49" i="234"/>
  <c r="J49" i="234" s="1"/>
  <c r="J23" i="234"/>
  <c r="P20" i="186"/>
  <c r="H21" i="230"/>
  <c r="K21" i="230"/>
  <c r="P72" i="186"/>
  <c r="P70" i="186" s="1"/>
  <c r="P77" i="186" s="1"/>
  <c r="G70" i="186"/>
  <c r="G77" i="186" s="1"/>
  <c r="G143" i="186" s="1"/>
  <c r="G37" i="234"/>
  <c r="G29" i="241"/>
  <c r="J29" i="241" s="1"/>
  <c r="J50" i="227"/>
  <c r="I41" i="231"/>
  <c r="G22" i="241"/>
  <c r="J22" i="241" s="1"/>
  <c r="G26" i="241"/>
  <c r="J26" i="241" s="1"/>
  <c r="P9" i="186"/>
  <c r="F24" i="237"/>
  <c r="I24" i="237" s="1"/>
  <c r="D30" i="227"/>
  <c r="E10" i="237"/>
  <c r="G26" i="234"/>
  <c r="E33" i="234"/>
  <c r="C8" i="242" s="1"/>
  <c r="I33" i="234"/>
  <c r="E8" i="242" s="1"/>
  <c r="H12" i="239"/>
  <c r="H25" i="239"/>
  <c r="C29" i="82"/>
  <c r="C28" i="82" s="1"/>
  <c r="F46" i="234"/>
  <c r="F54" i="234" s="1"/>
  <c r="F25" i="237"/>
  <c r="I25" i="237" s="1"/>
  <c r="H17" i="230"/>
  <c r="I16" i="227"/>
  <c r="G33" i="233"/>
  <c r="C25" i="410" s="1"/>
  <c r="E13" i="52"/>
  <c r="E27" i="52" s="1"/>
  <c r="S125" i="186"/>
  <c r="S129" i="186" s="1"/>
  <c r="C33" i="82"/>
  <c r="I13" i="237"/>
  <c r="G10" i="237"/>
  <c r="F38" i="232"/>
  <c r="E31" i="408" s="1"/>
  <c r="H20" i="230"/>
  <c r="K20" i="230"/>
  <c r="H18" i="230"/>
  <c r="G57" i="211"/>
  <c r="J41" i="229"/>
  <c r="I29" i="229"/>
  <c r="G27" i="230"/>
  <c r="K27" i="230" s="1"/>
  <c r="I51" i="229"/>
  <c r="K22" i="230"/>
  <c r="H19" i="230"/>
  <c r="G30" i="230"/>
  <c r="H30" i="230" s="1"/>
  <c r="C14" i="18"/>
  <c r="C23" i="52"/>
  <c r="G13" i="52"/>
  <c r="G27" i="52" s="1"/>
  <c r="F13" i="52"/>
  <c r="F27" i="52" s="1"/>
  <c r="D13" i="52"/>
  <c r="C41" i="52"/>
  <c r="S96" i="186"/>
  <c r="S102" i="186" s="1"/>
  <c r="R77" i="186"/>
  <c r="C37" i="148"/>
  <c r="C11" i="148"/>
  <c r="S28" i="186"/>
  <c r="I21" i="237"/>
  <c r="C9" i="148"/>
  <c r="I12" i="237"/>
  <c r="I11" i="237"/>
  <c r="I23" i="237"/>
  <c r="S114" i="186"/>
  <c r="S119" i="186" s="1"/>
  <c r="C38" i="148"/>
  <c r="S84" i="186"/>
  <c r="S89" i="186" s="1"/>
  <c r="C31" i="52"/>
  <c r="L31" i="52" s="1"/>
  <c r="G15" i="237"/>
  <c r="F27" i="424" s="1"/>
  <c r="S20" i="186"/>
  <c r="I18" i="237"/>
  <c r="C10" i="148"/>
  <c r="G48" i="211"/>
  <c r="B37" i="148"/>
  <c r="B11" i="148"/>
  <c r="B13" i="148" s="1"/>
  <c r="S9" i="186"/>
  <c r="E43" i="81"/>
  <c r="O14" i="233"/>
  <c r="C40" i="410" s="1"/>
  <c r="B43" i="81"/>
  <c r="E65" i="211" s="1"/>
  <c r="F65" i="211" s="1"/>
  <c r="C15" i="247"/>
  <c r="K33" i="230"/>
  <c r="H33" i="230"/>
  <c r="E27" i="229"/>
  <c r="D17" i="409" s="1"/>
  <c r="H20" i="237"/>
  <c r="G28" i="424" s="1"/>
  <c r="K31" i="230"/>
  <c r="H31" i="230"/>
  <c r="G20" i="237"/>
  <c r="F28" i="424" s="1"/>
  <c r="J53" i="229"/>
  <c r="I46" i="229"/>
  <c r="C30" i="52"/>
  <c r="L30" i="52" s="1"/>
  <c r="H21" i="232"/>
  <c r="I17" i="229"/>
  <c r="C29" i="409" s="1"/>
  <c r="D27" i="239"/>
  <c r="O13" i="52" l="1"/>
  <c r="P13" i="52" s="1"/>
  <c r="P143" i="186"/>
  <c r="J33" i="234"/>
  <c r="J29" i="229"/>
  <c r="C40" i="409"/>
  <c r="C38" i="409" s="1"/>
  <c r="C18" i="409"/>
  <c r="J37" i="229"/>
  <c r="D50" i="409"/>
  <c r="D47" i="409" s="1"/>
  <c r="G8" i="408"/>
  <c r="C7" i="408"/>
  <c r="L19" i="52"/>
  <c r="D27" i="52"/>
  <c r="O27" i="52" s="1"/>
  <c r="I14" i="227"/>
  <c r="D35" i="52"/>
  <c r="D45" i="52" s="1"/>
  <c r="P36" i="52"/>
  <c r="L36" i="52"/>
  <c r="O15" i="233"/>
  <c r="C41" i="410" s="1"/>
  <c r="C65" i="51"/>
  <c r="C11" i="18"/>
  <c r="D18" i="227" s="1"/>
  <c r="F17" i="413"/>
  <c r="H52" i="234"/>
  <c r="H51" i="234" s="1"/>
  <c r="F41" i="428"/>
  <c r="F39" i="428" s="1"/>
  <c r="F25" i="414"/>
  <c r="F24" i="414" s="1"/>
  <c r="I52" i="234"/>
  <c r="G41" i="428"/>
  <c r="G17" i="413"/>
  <c r="G25" i="414"/>
  <c r="J24" i="234"/>
  <c r="D10" i="432"/>
  <c r="D26" i="424"/>
  <c r="J51" i="229"/>
  <c r="D60" i="409"/>
  <c r="D59" i="409" s="1"/>
  <c r="G14" i="408"/>
  <c r="D12" i="408"/>
  <c r="G13" i="408"/>
  <c r="E12" i="408"/>
  <c r="E23" i="408" s="1"/>
  <c r="C19" i="411"/>
  <c r="F20" i="411"/>
  <c r="G20" i="411" s="1"/>
  <c r="E46" i="234"/>
  <c r="C9" i="427" s="1"/>
  <c r="C21" i="414"/>
  <c r="C14" i="413"/>
  <c r="E30" i="229"/>
  <c r="O20" i="233" s="1"/>
  <c r="C45" i="410" s="1"/>
  <c r="E23" i="229"/>
  <c r="D14" i="409" s="1"/>
  <c r="C14" i="409"/>
  <c r="D25" i="229"/>
  <c r="O16" i="233" s="1"/>
  <c r="G17" i="407"/>
  <c r="G29" i="407" s="1"/>
  <c r="G51" i="407" s="1"/>
  <c r="D25" i="227"/>
  <c r="C38" i="247" s="1"/>
  <c r="E23" i="406"/>
  <c r="E18" i="406" s="1"/>
  <c r="C20" i="247"/>
  <c r="E53" i="406"/>
  <c r="G27" i="419"/>
  <c r="G30" i="429"/>
  <c r="G22" i="429"/>
  <c r="G19" i="419"/>
  <c r="G25" i="429"/>
  <c r="G22" i="419"/>
  <c r="F17" i="419"/>
  <c r="H17" i="419" s="1"/>
  <c r="H18" i="419"/>
  <c r="F20" i="429"/>
  <c r="H21" i="429"/>
  <c r="H20" i="429" s="1"/>
  <c r="G28" i="233"/>
  <c r="C21" i="410" s="1"/>
  <c r="E30" i="406"/>
  <c r="G21" i="429"/>
  <c r="G18" i="419"/>
  <c r="G15" i="429"/>
  <c r="G12" i="419"/>
  <c r="F9" i="419"/>
  <c r="H10" i="419"/>
  <c r="F12" i="429"/>
  <c r="H13" i="429"/>
  <c r="H12" i="429" s="1"/>
  <c r="F10" i="432"/>
  <c r="F26" i="424"/>
  <c r="F36" i="424" s="1"/>
  <c r="G27" i="233"/>
  <c r="C20" i="410" s="1"/>
  <c r="E29" i="406"/>
  <c r="G13" i="429"/>
  <c r="G10" i="419"/>
  <c r="J46" i="229"/>
  <c r="D54" i="409" s="1"/>
  <c r="C54" i="409"/>
  <c r="E37" i="232"/>
  <c r="E50" i="232" s="1"/>
  <c r="D32" i="408"/>
  <c r="G31" i="408"/>
  <c r="J45" i="229"/>
  <c r="D53" i="409" s="1"/>
  <c r="C53" i="409"/>
  <c r="J21" i="229"/>
  <c r="D33" i="409" s="1"/>
  <c r="C33" i="409"/>
  <c r="C28" i="409" s="1"/>
  <c r="C30" i="407"/>
  <c r="C32" i="407" s="1"/>
  <c r="E32" i="229"/>
  <c r="D22" i="409" s="1"/>
  <c r="C22" i="409"/>
  <c r="E31" i="229"/>
  <c r="D21" i="409" s="1"/>
  <c r="C21" i="409"/>
  <c r="O19" i="233"/>
  <c r="C44" i="410" s="1"/>
  <c r="D19" i="409"/>
  <c r="D44" i="228"/>
  <c r="E18" i="229"/>
  <c r="C9" i="409"/>
  <c r="E17" i="229"/>
  <c r="C8" i="409"/>
  <c r="D15" i="229"/>
  <c r="I37" i="52"/>
  <c r="I35" i="52" s="1"/>
  <c r="I45" i="52" s="1"/>
  <c r="I49" i="52" s="1"/>
  <c r="F37" i="52"/>
  <c r="F35" i="52" s="1"/>
  <c r="F45" i="52" s="1"/>
  <c r="F49" i="52" s="1"/>
  <c r="G37" i="52"/>
  <c r="G35" i="52" s="1"/>
  <c r="G45" i="52" s="1"/>
  <c r="G49" i="52" s="1"/>
  <c r="C31" i="82"/>
  <c r="C43" i="82" s="1"/>
  <c r="E37" i="52"/>
  <c r="G32" i="237"/>
  <c r="D13" i="230"/>
  <c r="G33" i="234"/>
  <c r="G30" i="232"/>
  <c r="G50" i="232" s="1"/>
  <c r="D30" i="232"/>
  <c r="D50" i="232" s="1"/>
  <c r="P59" i="186"/>
  <c r="C32" i="52"/>
  <c r="H38" i="232"/>
  <c r="F39" i="232"/>
  <c r="F10" i="237"/>
  <c r="I10" i="237" s="1"/>
  <c r="E32" i="237"/>
  <c r="N23" i="52"/>
  <c r="P23" i="52" s="1"/>
  <c r="C27" i="52"/>
  <c r="N27" i="52" s="1"/>
  <c r="C12" i="82"/>
  <c r="I29" i="237"/>
  <c r="P42" i="233"/>
  <c r="P47" i="233" s="1"/>
  <c r="F251" i="307"/>
  <c r="S59" i="186"/>
  <c r="F71" i="211"/>
  <c r="N30" i="52"/>
  <c r="P30" i="52" s="1"/>
  <c r="N31" i="52"/>
  <c r="P31" i="52" s="1"/>
  <c r="L41" i="52"/>
  <c r="N41" i="52"/>
  <c r="P41" i="52" s="1"/>
  <c r="L25" i="52"/>
  <c r="N25" i="52"/>
  <c r="P25" i="52" s="1"/>
  <c r="L43" i="52"/>
  <c r="N43" i="52"/>
  <c r="P43" i="52" s="1"/>
  <c r="B21" i="18"/>
  <c r="K145" i="186"/>
  <c r="H145" i="186"/>
  <c r="H19" i="232"/>
  <c r="H30" i="232" s="1"/>
  <c r="K29" i="230"/>
  <c r="I26" i="229"/>
  <c r="C39" i="52"/>
  <c r="G48" i="234"/>
  <c r="G46" i="234" s="1"/>
  <c r="G54" i="234" s="1"/>
  <c r="G27" i="211"/>
  <c r="H28" i="230"/>
  <c r="J52" i="227"/>
  <c r="I43" i="229"/>
  <c r="I35" i="229" s="1"/>
  <c r="G145" i="186"/>
  <c r="N145" i="186"/>
  <c r="D20" i="237"/>
  <c r="I145" i="186"/>
  <c r="F145" i="186"/>
  <c r="E145" i="186"/>
  <c r="J145" i="186"/>
  <c r="I45" i="227"/>
  <c r="C57" i="247"/>
  <c r="H37" i="52"/>
  <c r="H35" i="52" s="1"/>
  <c r="H45" i="52" s="1"/>
  <c r="H49" i="52" s="1"/>
  <c r="L145" i="186"/>
  <c r="M145" i="186"/>
  <c r="O145" i="186"/>
  <c r="H26" i="230"/>
  <c r="H27" i="230"/>
  <c r="C7" i="242"/>
  <c r="H27" i="239"/>
  <c r="K17" i="230"/>
  <c r="K19" i="230"/>
  <c r="H22" i="230"/>
  <c r="D14" i="18"/>
  <c r="S72" i="186"/>
  <c r="Q70" i="186"/>
  <c r="F16" i="237"/>
  <c r="I16" i="237" s="1"/>
  <c r="D15" i="237"/>
  <c r="C27" i="424" s="1"/>
  <c r="E27" i="424" s="1"/>
  <c r="G23" i="233"/>
  <c r="C17" i="410" s="1"/>
  <c r="D21" i="227"/>
  <c r="C39" i="247" s="1"/>
  <c r="H10" i="237"/>
  <c r="C40" i="148"/>
  <c r="K30" i="230"/>
  <c r="K18" i="230"/>
  <c r="L23" i="52"/>
  <c r="L13" i="52"/>
  <c r="C13" i="148"/>
  <c r="C21" i="18"/>
  <c r="H15" i="237"/>
  <c r="G27" i="424" s="1"/>
  <c r="I15" i="229"/>
  <c r="J17" i="229"/>
  <c r="O37" i="52" l="1"/>
  <c r="P37" i="52" s="1"/>
  <c r="J26" i="229"/>
  <c r="D40" i="409"/>
  <c r="D38" i="409" s="1"/>
  <c r="C27" i="409"/>
  <c r="C23" i="408"/>
  <c r="C41" i="408" s="1"/>
  <c r="G7" i="408"/>
  <c r="E54" i="234"/>
  <c r="P145" i="186"/>
  <c r="E68" i="211" s="1"/>
  <c r="F68" i="211" s="1"/>
  <c r="E35" i="52"/>
  <c r="E45" i="52" s="1"/>
  <c r="E49" i="52" s="1"/>
  <c r="L37" i="52"/>
  <c r="L35" i="52" s="1"/>
  <c r="C29" i="52"/>
  <c r="C45" i="52" s="1"/>
  <c r="L32" i="52"/>
  <c r="E32" i="238"/>
  <c r="F17" i="241"/>
  <c r="D16" i="425" s="1"/>
  <c r="D13" i="229"/>
  <c r="P216" i="186"/>
  <c r="H25" i="414"/>
  <c r="G24" i="414"/>
  <c r="H24" i="414" s="1"/>
  <c r="G9" i="415"/>
  <c r="H9" i="415" s="1"/>
  <c r="G18" i="424"/>
  <c r="H17" i="413"/>
  <c r="H41" i="428"/>
  <c r="G39" i="428"/>
  <c r="H39" i="428" s="1"/>
  <c r="J52" i="234"/>
  <c r="I51" i="234"/>
  <c r="J51" i="234" s="1"/>
  <c r="F18" i="424"/>
  <c r="F9" i="415"/>
  <c r="G12" i="235"/>
  <c r="F10" i="417" s="1"/>
  <c r="H17" i="241"/>
  <c r="F16" i="425" s="1"/>
  <c r="C52" i="409"/>
  <c r="C46" i="409" s="1"/>
  <c r="D20" i="409"/>
  <c r="D16" i="409" s="1"/>
  <c r="F20" i="237"/>
  <c r="I20" i="237" s="1"/>
  <c r="C28" i="424"/>
  <c r="E28" i="424" s="1"/>
  <c r="C36" i="424"/>
  <c r="D31" i="431"/>
  <c r="D30" i="420"/>
  <c r="E26" i="424"/>
  <c r="E36" i="424" s="1"/>
  <c r="D36" i="424"/>
  <c r="D38" i="424" s="1"/>
  <c r="D9" i="432"/>
  <c r="D32" i="432" s="1"/>
  <c r="E10" i="432"/>
  <c r="E9" i="432" s="1"/>
  <c r="E32" i="432" s="1"/>
  <c r="O46" i="233"/>
  <c r="C64" i="410" s="1"/>
  <c r="D65" i="410"/>
  <c r="G12" i="408"/>
  <c r="D23" i="408"/>
  <c r="C8" i="411"/>
  <c r="F8" i="411" s="1"/>
  <c r="G8" i="411" s="1"/>
  <c r="F19" i="411"/>
  <c r="G19" i="411" s="1"/>
  <c r="S70" i="186"/>
  <c r="S77" i="186" s="1"/>
  <c r="C15" i="424"/>
  <c r="C8" i="415"/>
  <c r="C18" i="413"/>
  <c r="E18" i="413" s="1"/>
  <c r="E14" i="413"/>
  <c r="E21" i="414"/>
  <c r="C18" i="414"/>
  <c r="C45" i="427"/>
  <c r="C8" i="427"/>
  <c r="H10" i="429"/>
  <c r="H160" i="429" s="1"/>
  <c r="D52" i="409"/>
  <c r="D46" i="409" s="1"/>
  <c r="E25" i="229"/>
  <c r="O21" i="233" s="1"/>
  <c r="O18" i="233" s="1"/>
  <c r="D37" i="247"/>
  <c r="G24" i="233"/>
  <c r="C18" i="410" s="1"/>
  <c r="C16" i="409"/>
  <c r="C7" i="409"/>
  <c r="D11" i="227"/>
  <c r="E14" i="406"/>
  <c r="E7" i="406" s="1"/>
  <c r="E25" i="406" s="1"/>
  <c r="G20" i="429"/>
  <c r="F10" i="429"/>
  <c r="F160" i="429" s="1"/>
  <c r="G9" i="419"/>
  <c r="G12" i="429"/>
  <c r="C60" i="247"/>
  <c r="D56" i="247" s="1"/>
  <c r="E58" i="406"/>
  <c r="E52" i="406" s="1"/>
  <c r="G29" i="233"/>
  <c r="C22" i="410" s="1"/>
  <c r="E31" i="406"/>
  <c r="E28" i="406" s="1"/>
  <c r="G17" i="419"/>
  <c r="G10" i="432"/>
  <c r="G9" i="432" s="1"/>
  <c r="G32" i="432" s="1"/>
  <c r="G26" i="424"/>
  <c r="G36" i="424" s="1"/>
  <c r="F9" i="432"/>
  <c r="F32" i="432" s="1"/>
  <c r="F81" i="419"/>
  <c r="H81" i="419" s="1"/>
  <c r="H9" i="419"/>
  <c r="D30" i="408"/>
  <c r="D41" i="408" s="1"/>
  <c r="F37" i="232"/>
  <c r="H37" i="232" s="1"/>
  <c r="E32" i="408"/>
  <c r="E30" i="408" s="1"/>
  <c r="J43" i="229"/>
  <c r="J35" i="229" s="1"/>
  <c r="J15" i="229"/>
  <c r="J13" i="229" s="1"/>
  <c r="O37" i="233" s="1"/>
  <c r="D29" i="409"/>
  <c r="D28" i="409" s="1"/>
  <c r="D27" i="409" s="1"/>
  <c r="O13" i="233"/>
  <c r="C42" i="410"/>
  <c r="C39" i="410" s="1"/>
  <c r="D9" i="409"/>
  <c r="C24" i="247"/>
  <c r="E15" i="229"/>
  <c r="D8" i="409"/>
  <c r="H24" i="230"/>
  <c r="N32" i="52"/>
  <c r="P32" i="52" s="1"/>
  <c r="H39" i="232"/>
  <c r="F15" i="237"/>
  <c r="D32" i="237"/>
  <c r="C17" i="18"/>
  <c r="E41" i="211"/>
  <c r="G41" i="211" s="1"/>
  <c r="L27" i="52"/>
  <c r="D11" i="18"/>
  <c r="D17" i="18" s="1"/>
  <c r="E20" i="211"/>
  <c r="H32" i="237"/>
  <c r="P27" i="52"/>
  <c r="D49" i="52"/>
  <c r="C22" i="18"/>
  <c r="C27" i="18" s="1"/>
  <c r="L39" i="52"/>
  <c r="N39" i="52"/>
  <c r="P39" i="52" s="1"/>
  <c r="C65" i="82"/>
  <c r="I13" i="229"/>
  <c r="O31" i="233" s="1"/>
  <c r="H21" i="234"/>
  <c r="I21" i="234"/>
  <c r="G20" i="233"/>
  <c r="E12" i="236"/>
  <c r="E12" i="235"/>
  <c r="F40" i="238"/>
  <c r="I40" i="238" s="1"/>
  <c r="I39" i="227"/>
  <c r="I11" i="227"/>
  <c r="D51" i="247" s="1"/>
  <c r="Q77" i="186"/>
  <c r="Q143" i="186" s="1"/>
  <c r="B38" i="148"/>
  <c r="B40" i="148" s="1"/>
  <c r="R145" i="186"/>
  <c r="G12" i="236"/>
  <c r="D21" i="18"/>
  <c r="G32" i="238"/>
  <c r="D13" i="242"/>
  <c r="H15" i="230"/>
  <c r="O35" i="52" l="1"/>
  <c r="O49" i="52"/>
  <c r="O45" i="52"/>
  <c r="N29" i="52"/>
  <c r="P29" i="52" s="1"/>
  <c r="P35" i="52"/>
  <c r="L29" i="52"/>
  <c r="L45" i="52" s="1"/>
  <c r="L49" i="52" s="1"/>
  <c r="D12" i="235"/>
  <c r="E17" i="241"/>
  <c r="C16" i="425" s="1"/>
  <c r="G23" i="408"/>
  <c r="C49" i="52"/>
  <c r="N49" i="52" s="1"/>
  <c r="P49" i="52" s="1"/>
  <c r="N45" i="52"/>
  <c r="S143" i="186"/>
  <c r="S145" i="186" s="1"/>
  <c r="F10" i="430"/>
  <c r="F9" i="430" s="1"/>
  <c r="G22" i="235"/>
  <c r="F10" i="416"/>
  <c r="F20" i="416" s="1"/>
  <c r="D67" i="247"/>
  <c r="D35" i="247"/>
  <c r="D45" i="247" s="1"/>
  <c r="H32" i="238"/>
  <c r="G30" i="420" s="1"/>
  <c r="G29" i="420" s="1"/>
  <c r="G46" i="420" s="1"/>
  <c r="I17" i="241"/>
  <c r="G16" i="425" s="1"/>
  <c r="H10" i="432"/>
  <c r="H9" i="432" s="1"/>
  <c r="H32" i="432" s="1"/>
  <c r="C10" i="430"/>
  <c r="C9" i="430" s="1"/>
  <c r="C29" i="430" s="1"/>
  <c r="C10" i="417"/>
  <c r="C22" i="417" s="1"/>
  <c r="C10" i="416"/>
  <c r="C20" i="416" s="1"/>
  <c r="E22" i="235"/>
  <c r="D10" i="430"/>
  <c r="D10" i="417"/>
  <c r="D10" i="416"/>
  <c r="F13" i="241"/>
  <c r="F40" i="241" s="1"/>
  <c r="D29" i="420"/>
  <c r="E18" i="236"/>
  <c r="D10" i="418"/>
  <c r="D30" i="431"/>
  <c r="D10" i="431" s="1"/>
  <c r="D84" i="431" s="1"/>
  <c r="H13" i="230"/>
  <c r="G10" i="429"/>
  <c r="G160" i="429" s="1"/>
  <c r="C20" i="424"/>
  <c r="E15" i="424"/>
  <c r="E18" i="414"/>
  <c r="C26" i="414"/>
  <c r="E26" i="414" s="1"/>
  <c r="C34" i="415"/>
  <c r="E34" i="415" s="1"/>
  <c r="E8" i="415"/>
  <c r="C46" i="410"/>
  <c r="C43" i="410" s="1"/>
  <c r="C47" i="410" s="1"/>
  <c r="D32" i="227"/>
  <c r="E13" i="229"/>
  <c r="C6" i="409"/>
  <c r="O22" i="233"/>
  <c r="G45" i="233"/>
  <c r="C35" i="410" s="1"/>
  <c r="C19" i="410" s="1"/>
  <c r="G81" i="419"/>
  <c r="G30" i="408"/>
  <c r="D7" i="409"/>
  <c r="D6" i="409" s="1"/>
  <c r="I48" i="234"/>
  <c r="J48" i="234" s="1"/>
  <c r="G16" i="428"/>
  <c r="G13" i="233"/>
  <c r="C15" i="410"/>
  <c r="C8" i="410" s="1"/>
  <c r="H48" i="234"/>
  <c r="F16" i="428"/>
  <c r="F43" i="428" s="1"/>
  <c r="F73" i="428" s="1"/>
  <c r="E62" i="406"/>
  <c r="E64" i="406" s="1"/>
  <c r="H13" i="241"/>
  <c r="H40" i="241" s="1"/>
  <c r="D11" i="242"/>
  <c r="D13" i="427"/>
  <c r="G18" i="236"/>
  <c r="F10" i="418"/>
  <c r="G31" i="238"/>
  <c r="G48" i="238" s="1"/>
  <c r="F31" i="431"/>
  <c r="F30" i="420"/>
  <c r="F22" i="417"/>
  <c r="F50" i="232"/>
  <c r="E41" i="408"/>
  <c r="G41" i="408" s="1"/>
  <c r="G32" i="408"/>
  <c r="O27" i="233"/>
  <c r="C54" i="410"/>
  <c r="C50" i="410" s="1"/>
  <c r="O33" i="233"/>
  <c r="C59" i="410"/>
  <c r="C55" i="410" s="1"/>
  <c r="C29" i="18"/>
  <c r="Q145" i="186"/>
  <c r="I15" i="237"/>
  <c r="I32" i="237" s="1"/>
  <c r="F32" i="237"/>
  <c r="C13" i="242" s="1"/>
  <c r="G20" i="211"/>
  <c r="F54" i="211"/>
  <c r="G54" i="211" s="1"/>
  <c r="J21" i="234"/>
  <c r="J26" i="234" s="1"/>
  <c r="I26" i="234"/>
  <c r="E9" i="242" s="1"/>
  <c r="E31" i="238"/>
  <c r="E48" i="238" s="1"/>
  <c r="E21" i="236"/>
  <c r="H26" i="234"/>
  <c r="D9" i="242" s="1"/>
  <c r="D62" i="247"/>
  <c r="E13" i="242"/>
  <c r="D32" i="238"/>
  <c r="D12" i="236"/>
  <c r="H12" i="235"/>
  <c r="H12" i="236"/>
  <c r="I50" i="227"/>
  <c r="D22" i="235"/>
  <c r="F12" i="235"/>
  <c r="P45" i="52" l="1"/>
  <c r="H31" i="238"/>
  <c r="H48" i="238" s="1"/>
  <c r="J50" i="232"/>
  <c r="H50" i="232"/>
  <c r="G31" i="431"/>
  <c r="G30" i="431" s="1"/>
  <c r="G10" i="431" s="1"/>
  <c r="G84" i="431" s="1"/>
  <c r="G21" i="236"/>
  <c r="I52" i="227"/>
  <c r="C18" i="247" s="1"/>
  <c r="C27" i="247" s="1"/>
  <c r="F12" i="236"/>
  <c r="F18" i="236" s="1"/>
  <c r="C10" i="418"/>
  <c r="C20" i="418" s="1"/>
  <c r="F32" i="238"/>
  <c r="I32" i="238" s="1"/>
  <c r="C31" i="431"/>
  <c r="C30" i="420"/>
  <c r="G17" i="241"/>
  <c r="J17" i="241" s="1"/>
  <c r="C12" i="425"/>
  <c r="C39" i="425" s="1"/>
  <c r="C11" i="242"/>
  <c r="C15" i="242" s="1"/>
  <c r="C19" i="242" s="1"/>
  <c r="C23" i="242" s="1"/>
  <c r="C13" i="427"/>
  <c r="D46" i="420"/>
  <c r="D20" i="416"/>
  <c r="E20" i="416" s="1"/>
  <c r="H20" i="416" s="1"/>
  <c r="E10" i="416"/>
  <c r="H10" i="416" s="1"/>
  <c r="D20" i="418"/>
  <c r="E10" i="418"/>
  <c r="E20" i="418" s="1"/>
  <c r="D22" i="417"/>
  <c r="E22" i="417" s="1"/>
  <c r="H22" i="417" s="1"/>
  <c r="E10" i="417"/>
  <c r="H10" i="417" s="1"/>
  <c r="D12" i="425"/>
  <c r="D9" i="430"/>
  <c r="E10" i="430"/>
  <c r="H10" i="430" s="1"/>
  <c r="E20" i="424"/>
  <c r="C38" i="424"/>
  <c r="E38" i="424" s="1"/>
  <c r="I46" i="234"/>
  <c r="G26" i="233"/>
  <c r="G47" i="233" s="1"/>
  <c r="C29" i="247" s="1"/>
  <c r="C36" i="410"/>
  <c r="H46" i="234"/>
  <c r="F21" i="414"/>
  <c r="F18" i="414" s="1"/>
  <c r="F26" i="414" s="1"/>
  <c r="F14" i="413"/>
  <c r="H16" i="428"/>
  <c r="H43" i="428" s="1"/>
  <c r="H73" i="428" s="1"/>
  <c r="G43" i="428"/>
  <c r="G73" i="428" s="1"/>
  <c r="G21" i="414"/>
  <c r="G14" i="413"/>
  <c r="F30" i="431"/>
  <c r="F10" i="431" s="1"/>
  <c r="F84" i="431" s="1"/>
  <c r="F12" i="425"/>
  <c r="H18" i="236"/>
  <c r="G10" i="418"/>
  <c r="G20" i="418" s="1"/>
  <c r="I13" i="241"/>
  <c r="I40" i="241" s="1"/>
  <c r="G12" i="425"/>
  <c r="G39" i="425" s="1"/>
  <c r="F20" i="418"/>
  <c r="H22" i="235"/>
  <c r="G10" i="430"/>
  <c r="G9" i="430" s="1"/>
  <c r="G29" i="430" s="1"/>
  <c r="G10" i="417"/>
  <c r="G22" i="417" s="1"/>
  <c r="G10" i="416"/>
  <c r="G20" i="416" s="1"/>
  <c r="E11" i="242"/>
  <c r="E13" i="427"/>
  <c r="D49" i="427"/>
  <c r="D12" i="427"/>
  <c r="F29" i="420"/>
  <c r="F29" i="430"/>
  <c r="C60" i="410"/>
  <c r="O39" i="233"/>
  <c r="B22" i="18"/>
  <c r="B27" i="18" s="1"/>
  <c r="B29" i="18" s="1"/>
  <c r="D31" i="238"/>
  <c r="D48" i="238" s="1"/>
  <c r="D50" i="238" s="1"/>
  <c r="D18" i="236"/>
  <c r="D21" i="236" s="1"/>
  <c r="E13" i="241"/>
  <c r="E40" i="241" s="1"/>
  <c r="F22" i="235"/>
  <c r="I12" i="235"/>
  <c r="I22" i="235" s="1"/>
  <c r="I12" i="236" l="1"/>
  <c r="I18" i="236" s="1"/>
  <c r="I21" i="236" s="1"/>
  <c r="C30" i="247"/>
  <c r="E16" i="425"/>
  <c r="H16" i="425" s="1"/>
  <c r="C30" i="431"/>
  <c r="C10" i="431" s="1"/>
  <c r="C84" i="431" s="1"/>
  <c r="E31" i="431"/>
  <c r="C29" i="420"/>
  <c r="E30" i="420"/>
  <c r="H30" i="420" s="1"/>
  <c r="H10" i="418"/>
  <c r="H20" i="418"/>
  <c r="D29" i="430"/>
  <c r="E9" i="430"/>
  <c r="C49" i="427"/>
  <c r="C51" i="427" s="1"/>
  <c r="C52" i="427" s="1"/>
  <c r="C12" i="427"/>
  <c r="C18" i="427" s="1"/>
  <c r="C19" i="427" s="1"/>
  <c r="C20" i="427" s="1"/>
  <c r="C27" i="427" s="1"/>
  <c r="E12" i="425"/>
  <c r="H12" i="425" s="1"/>
  <c r="D39" i="425"/>
  <c r="E39" i="425" s="1"/>
  <c r="I54" i="234"/>
  <c r="J46" i="234"/>
  <c r="J54" i="234" s="1"/>
  <c r="C62" i="410"/>
  <c r="O42" i="233"/>
  <c r="O47" i="233" s="1"/>
  <c r="C65" i="410" s="1"/>
  <c r="G18" i="414"/>
  <c r="H21" i="414"/>
  <c r="F15" i="424"/>
  <c r="F20" i="424" s="1"/>
  <c r="F38" i="424" s="1"/>
  <c r="F8" i="415"/>
  <c r="F34" i="415" s="1"/>
  <c r="F18" i="413"/>
  <c r="G15" i="424"/>
  <c r="G20" i="424" s="1"/>
  <c r="G38" i="424" s="1"/>
  <c r="G8" i="415"/>
  <c r="G18" i="413"/>
  <c r="H18" i="413" s="1"/>
  <c r="H14" i="413"/>
  <c r="E7" i="242"/>
  <c r="E15" i="242" s="1"/>
  <c r="E19" i="242" s="1"/>
  <c r="E23" i="242" s="1"/>
  <c r="E9" i="427"/>
  <c r="H54" i="234"/>
  <c r="H21" i="236"/>
  <c r="E49" i="427"/>
  <c r="E12" i="427"/>
  <c r="F46" i="420"/>
  <c r="F39" i="425"/>
  <c r="D22" i="18"/>
  <c r="D27" i="18" s="1"/>
  <c r="D29" i="18" s="1"/>
  <c r="F31" i="238"/>
  <c r="I31" i="238" s="1"/>
  <c r="I48" i="238" s="1"/>
  <c r="G13" i="241"/>
  <c r="G40" i="241" s="1"/>
  <c r="F21" i="236"/>
  <c r="E30" i="431" l="1"/>
  <c r="E10" i="431" s="1"/>
  <c r="E84" i="431" s="1"/>
  <c r="H31" i="431"/>
  <c r="H30" i="431" s="1"/>
  <c r="H10" i="431" s="1"/>
  <c r="H84" i="431" s="1"/>
  <c r="C46" i="420"/>
  <c r="E46" i="420" s="1"/>
  <c r="H46" i="420" s="1"/>
  <c r="E29" i="420"/>
  <c r="H29" i="420" s="1"/>
  <c r="E29" i="430"/>
  <c r="H9" i="430"/>
  <c r="H29" i="430" s="1"/>
  <c r="H39" i="425"/>
  <c r="E8" i="427"/>
  <c r="E18" i="427" s="1"/>
  <c r="E19" i="427" s="1"/>
  <c r="E20" i="427" s="1"/>
  <c r="E27" i="427" s="1"/>
  <c r="E45" i="427"/>
  <c r="E51" i="427" s="1"/>
  <c r="E52" i="427" s="1"/>
  <c r="O69" i="233"/>
  <c r="H8" i="415"/>
  <c r="G34" i="415"/>
  <c r="H34" i="415" s="1"/>
  <c r="G26" i="414"/>
  <c r="H26" i="414" s="1"/>
  <c r="H18" i="414"/>
  <c r="D7" i="242"/>
  <c r="D15" i="242" s="1"/>
  <c r="D19" i="242" s="1"/>
  <c r="D23" i="242" s="1"/>
  <c r="D9" i="427"/>
  <c r="F48" i="238"/>
  <c r="J13" i="241"/>
  <c r="J40" i="241" s="1"/>
  <c r="D54" i="186"/>
  <c r="D59" i="186" s="1"/>
  <c r="D145" i="186" s="1"/>
  <c r="L154" i="186"/>
  <c r="K154" i="186"/>
  <c r="O154" i="186"/>
  <c r="N154" i="186"/>
  <c r="M154" i="186"/>
  <c r="E154" i="186"/>
  <c r="G154" i="186"/>
  <c r="J154" i="186"/>
  <c r="F154" i="186"/>
  <c r="I154" i="186"/>
  <c r="H154" i="186"/>
  <c r="I22" i="228"/>
  <c r="D66" i="247" s="1"/>
  <c r="D68" i="247" s="1"/>
  <c r="D8" i="427" l="1"/>
  <c r="D18" i="427" s="1"/>
  <c r="D19" i="427" s="1"/>
  <c r="D20" i="427" s="1"/>
  <c r="D27" i="427" s="1"/>
  <c r="D45" i="427"/>
  <c r="D51" i="427" s="1"/>
  <c r="D52" i="427" s="1"/>
  <c r="I43" i="231"/>
  <c r="I44" i="228"/>
  <c r="C73" i="247"/>
  <c r="C74" i="247" s="1"/>
  <c r="J22" i="228"/>
  <c r="J44" i="228" s="1"/>
  <c r="H43" i="231"/>
  <c r="E34" i="412" s="1"/>
  <c r="E36" i="412" s="1"/>
  <c r="H45" i="231" l="1"/>
  <c r="I45" i="231"/>
  <c r="F34" i="412"/>
  <c r="F36" i="4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H6" authorId="0" shapeId="0" xr:uid="{EFC74036-192B-4823-9108-D34D9C05C40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Ampliaciones actas 3 marzo y 11 mayo 2021</t>
        </r>
      </text>
    </comment>
    <comment ref="J6" authorId="0" shapeId="0" xr:uid="{D2764245-84C9-4DBD-BD85-76D3C21B9C35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Ampliaciones acta 23 jun 2021</t>
        </r>
      </text>
    </comment>
    <comment ref="N6" authorId="0" shapeId="0" xr:uid="{ECEEE0CF-E3CC-4381-95D2-A9378088300D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Ajustes presupuestales acta 11 nov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D3" authorId="0" shapeId="0" xr:uid="{5990BD46-4F5B-44C7-9260-31D44F6FDDD7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5513 y 5515</t>
        </r>
      </text>
    </comment>
    <comment ref="E3" authorId="0" shapeId="0" xr:uid="{72DAEB58-C4ED-4B85-A516-B25550A476DD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1261 y 1263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javier.marrufo</author>
  </authors>
  <commentList>
    <comment ref="E2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ing por servicios y venta terrenos anual</t>
        </r>
      </text>
    </comment>
    <comment ref="F2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ANOTAR MANUAL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enrique.irigoyen</author>
    <author>jmarrufo</author>
    <author>Rocio Torres</author>
    <author>sdi</author>
    <author>Enrique Irigoyen</author>
  </authors>
  <commentList>
    <comment ref="O25" authorId="0" shapeId="0" xr:uid="{CED54CE4-A733-44BD-94DC-C350DF2C6B2D}">
      <text>
        <r>
          <rPr>
            <sz val="8"/>
            <color indexed="81"/>
            <rFont val="Tahoma"/>
            <family val="2"/>
          </rPr>
          <t>según avaluo de 2005 eran 100,649.23m2 pero en la nueva medida resultaron 102,184.17m2 de diferencia</t>
        </r>
      </text>
    </comment>
    <comment ref="C31" authorId="1" shapeId="0" xr:uid="{284DA436-68C3-46A7-BE00-7156FF07E05D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Incluye 8988.10 m2 comprados a José Pedro Nogal Diaz en 2004
</t>
        </r>
      </text>
    </comment>
    <comment ref="AL37" authorId="2" shapeId="0" xr:uid="{8C6209BA-6821-4028-92F7-9395FB6F0A7B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AM37" authorId="2" shapeId="0" xr:uid="{477F3607-D780-4555-B534-3141F59CD2B5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C101" authorId="1" shapeId="0" xr:uid="{0C3C2B1E-B4B6-448B-AFA1-59832D85FDA4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SE VA A RESTAR LA DONACION A CFE CUANDO SE FORMALICE</t>
        </r>
      </text>
    </comment>
    <comment ref="AK101" authorId="2" shapeId="0" xr:uid="{AF7EAE3A-E9E3-4CD8-8F46-5CB942FF62E5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se va arestar la donacion a CFE cuando se Formalice</t>
        </r>
      </text>
    </comment>
    <comment ref="AK112" authorId="2" shapeId="0" xr:uid="{9DB7DC1B-9F05-4045-AB16-15D7B1EF7D8A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la base de datos de quique esta como prestado e Quiroproductos</t>
        </r>
      </text>
    </comment>
    <comment ref="AK113" authorId="2" shapeId="0" xr:uid="{898AFA37-1F26-4223-9DA2-D8AE29AEEACF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la superficie no coincide con la de la base de datos de quique que es 4974.37
</t>
        </r>
      </text>
    </comment>
    <comment ref="M126" authorId="1" shapeId="0" xr:uid="{73698D7D-B4FF-4B65-A583-27A0F77F545A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diferencia contra superficie donada en acta comité
</t>
        </r>
      </text>
    </comment>
    <comment ref="AL144" authorId="2" shapeId="0" xr:uid="{6A261EC5-304A-4DE6-95F0-00D73884E872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los datos de quique solo trae manzana 7 lote 4</t>
        </r>
      </text>
    </comment>
    <comment ref="W224" authorId="3" shapeId="0" xr:uid="{0D16B12F-AC6B-4E4D-B098-9B5FF874B4B6}">
      <text>
        <r>
          <rPr>
            <b/>
            <sz val="8"/>
            <color indexed="81"/>
            <rFont val="Tahoma"/>
            <family val="2"/>
          </rPr>
          <t>sdi:</t>
        </r>
        <r>
          <rPr>
            <sz val="8"/>
            <color indexed="81"/>
            <rFont val="Tahoma"/>
            <family val="2"/>
          </rPr>
          <t xml:space="preserve">
se considero al precio de adquisicion (I-54 AGO 04)</t>
        </r>
      </text>
    </comment>
    <comment ref="AK267" authorId="2" shapeId="0" xr:uid="{C885FD1A-FC85-4C85-9599-88B9FFCE5284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pequeña diferencia fila 269 base de quique</t>
        </r>
      </text>
    </comment>
    <comment ref="C305" authorId="4" shapeId="0" xr:uid="{CF180B62-FC77-4050-8ABB-7158E55167C1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05" authorId="4" shapeId="0" xr:uid="{26289302-F7AA-4342-810D-9579C07A5A86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44" authorId="2" shapeId="0" xr:uid="{3B345F3E-B16D-4384-B094-FE1E5E81F6C2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no coincide la superficie con la base de quique que tiene 747500 m2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F18" authorId="0" shapeId="0" xr:uid="{2454D77C-471B-403C-9722-3C417EC96CEF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F25" authorId="0" shapeId="0" xr:uid="{0574842C-CFBF-4152-BB14-F23C384369EC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L29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Dividir entre número de meses
</t>
        </r>
      </text>
    </comment>
    <comment ref="E68" authorId="0" shapeId="0" xr:uid="{31ED6D16-B9C9-4AEA-94EB-87C63F32493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Actas CT 3 mar , 11 may (excepto promocion), 23 junio y 11 nov</t>
        </r>
      </text>
    </comment>
  </commentList>
</comments>
</file>

<file path=xl/sharedStrings.xml><?xml version="1.0" encoding="utf-8"?>
<sst xmlns="http://schemas.openxmlformats.org/spreadsheetml/2006/main" count="17526" uniqueCount="7443">
  <si>
    <t>INGRESOS POR ARRENDAMIENTO</t>
  </si>
  <si>
    <t>TOTAL INGRESOS POR ARRENDAMIENTO</t>
  </si>
  <si>
    <t>PARRAL</t>
  </si>
  <si>
    <t>PRESUPUESTO</t>
  </si>
  <si>
    <t>EJERCIDO</t>
  </si>
  <si>
    <t>VARIACIÓN</t>
  </si>
  <si>
    <t>ANTICIPO A PROVEEDORES</t>
  </si>
  <si>
    <t>TOTAL ANTICIPO A PROVEEDORES</t>
  </si>
  <si>
    <t>TOTAL COSTO DE SERVICIOS</t>
  </si>
  <si>
    <t>Acumulado</t>
  </si>
  <si>
    <t>Ingresos por Venta de Terrenos</t>
  </si>
  <si>
    <t>Energía Eléctrica</t>
  </si>
  <si>
    <t>COSTO DE SERVICIOS EN PARQUES</t>
  </si>
  <si>
    <t>CASAS GRANDES</t>
  </si>
  <si>
    <t>INGRESOS POR SERVICIOS EN PARQUES</t>
  </si>
  <si>
    <t>Chihuahua</t>
  </si>
  <si>
    <t xml:space="preserve">Agua  </t>
  </si>
  <si>
    <t xml:space="preserve">Vigilancia </t>
  </si>
  <si>
    <t xml:space="preserve">Mantenimiento  </t>
  </si>
  <si>
    <t xml:space="preserve">Agua </t>
  </si>
  <si>
    <t xml:space="preserve">Mantenimiento </t>
  </si>
  <si>
    <t>Cuauhtémoc</t>
  </si>
  <si>
    <t>Agua</t>
  </si>
  <si>
    <t>VENTAS DE TERRENOS</t>
  </si>
  <si>
    <t>Parral</t>
  </si>
  <si>
    <t>Presupuesto</t>
  </si>
  <si>
    <t>Ejercido</t>
  </si>
  <si>
    <t>Depreciaciones</t>
  </si>
  <si>
    <t>CUAUHTEMOC</t>
  </si>
  <si>
    <t>Mantenimiento</t>
  </si>
  <si>
    <t>TOTAL INGRESOS POR SERVICIOS</t>
  </si>
  <si>
    <t>INTEGRACIÓN DEL ESTADO DE RESULTADOS</t>
  </si>
  <si>
    <t>Parque Ind.</t>
  </si>
  <si>
    <t>Aeropuerto (Jrz)</t>
  </si>
  <si>
    <t xml:space="preserve">Parque Ind. </t>
  </si>
  <si>
    <t>Paquimé (NCG)</t>
  </si>
  <si>
    <t>Complejo Ind.</t>
  </si>
  <si>
    <t>Banamex Cheques</t>
  </si>
  <si>
    <t>Banorte Cheques</t>
  </si>
  <si>
    <t>Bancomer</t>
  </si>
  <si>
    <t>TOTAL BANCOS</t>
  </si>
  <si>
    <t>Cuenta no. 4481-4514</t>
  </si>
  <si>
    <t>Cuenta no. 0128947777</t>
  </si>
  <si>
    <t>Cuenta no. 0135020670</t>
  </si>
  <si>
    <t>Inversiones Banorte</t>
  </si>
  <si>
    <t>TOTAL INVERSIONES EN VALORES</t>
  </si>
  <si>
    <t xml:space="preserve">ANTICIPO A PROVEEDORES </t>
  </si>
  <si>
    <t xml:space="preserve">Depreciaciones </t>
  </si>
  <si>
    <t>TOTAL VENTAS DE TERRENOS</t>
  </si>
  <si>
    <t>COSTO DE SERVICIOS</t>
  </si>
  <si>
    <t>Costo de Venta de Terrenos y de Subsidios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</si>
  <si>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</si>
  <si>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</si>
  <si>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</si>
  <si>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</si>
  <si>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</si>
  <si>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</si>
  <si>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</si>
  <si>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</si>
  <si>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</si>
  <si>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</si>
  <si>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</si>
  <si>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</si>
  <si>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</t>
  </si>
  <si>
    <t>COSTO DE SUBSIDIOS</t>
  </si>
  <si>
    <t>DEUDORES DIVERSOS</t>
  </si>
  <si>
    <t>TOTAL CIRCULANTE</t>
  </si>
  <si>
    <t>TOTAL NO CIRCULANTE</t>
  </si>
  <si>
    <t>CIRCULANTE</t>
  </si>
  <si>
    <t>NO CIRCULANTE</t>
  </si>
  <si>
    <t>RESULTADOS EJERC. ANTERIORES</t>
  </si>
  <si>
    <t>COSTO DE VENTA DE TERRENOS</t>
  </si>
  <si>
    <t>TOTAL COSTO DE VENTA DE TERRENOS</t>
  </si>
  <si>
    <t>TOTAL COSTO DE SUBSIDIOS</t>
  </si>
  <si>
    <t>TOTAL FINANCIEROS Y OTROS GASTOS</t>
  </si>
  <si>
    <t>Egresos</t>
  </si>
  <si>
    <t>INVERSIONES EN VALORES</t>
  </si>
  <si>
    <t>Varios</t>
  </si>
  <si>
    <t>Vigilancia</t>
  </si>
  <si>
    <t>CHIHUAHUA</t>
  </si>
  <si>
    <t>JUAREZ</t>
  </si>
  <si>
    <t>A C T I V O</t>
  </si>
  <si>
    <t>P A S I V O</t>
  </si>
  <si>
    <t>BANCOS</t>
  </si>
  <si>
    <t>EQUIPO DE TRANSPORTE</t>
  </si>
  <si>
    <t>PATRIMONIO</t>
  </si>
  <si>
    <t>SUMA DEL ACTIVO</t>
  </si>
  <si>
    <t>Total</t>
  </si>
  <si>
    <t xml:space="preserve">Varios   </t>
  </si>
  <si>
    <t>SUMA DEL PASIVO</t>
  </si>
  <si>
    <t>Inversiones Bancomer</t>
  </si>
  <si>
    <t>OTROS INGRESOS</t>
  </si>
  <si>
    <t>INGRESOS</t>
  </si>
  <si>
    <t>TOTAL INGRESOS</t>
  </si>
  <si>
    <t>TOTAL EGRESOS</t>
  </si>
  <si>
    <t>Parque Industrial Chihuahua Sur</t>
  </si>
  <si>
    <t>Inversiones Banamex</t>
  </si>
  <si>
    <t>RESUMEN</t>
  </si>
  <si>
    <t>TOTAL</t>
  </si>
  <si>
    <t>PARQUE INDUSTRIAL CUAUHTEMOC</t>
  </si>
  <si>
    <t>PARQUE INDUSTRIAL PARRAL</t>
  </si>
  <si>
    <t>CONCEPTO</t>
  </si>
  <si>
    <t>TOTAL GASTOS Y COSTOS</t>
  </si>
  <si>
    <t>HACIENDA PÚBLICA / PATRIMONIO</t>
  </si>
  <si>
    <t>SUMA HACIENDA PÚBLICA / PATRIMONIO</t>
  </si>
  <si>
    <t>SUMA DEL PASIVO Y PATRIMONIO</t>
  </si>
  <si>
    <t>C.O.G.</t>
  </si>
  <si>
    <t>Sueldo Base a Personal Permanente</t>
  </si>
  <si>
    <t>Gratificación Anual</t>
  </si>
  <si>
    <t>Prima Vacacional</t>
  </si>
  <si>
    <t>Horas Extras</t>
  </si>
  <si>
    <t>Cuotas para Seguro de Vida</t>
  </si>
  <si>
    <t>Cuotas para Fondo de Ahorro</t>
  </si>
  <si>
    <t>Despensa</t>
  </si>
  <si>
    <t>Materiales, Utiles y Eq. Menores Oficina</t>
  </si>
  <si>
    <t>Materiales y Utiles de Impresión</t>
  </si>
  <si>
    <t>Material de Limpieza</t>
  </si>
  <si>
    <t>Productos Alimenticios para Personas</t>
  </si>
  <si>
    <t>Combustibles</t>
  </si>
  <si>
    <t>Telefonía Tradicional</t>
  </si>
  <si>
    <t>Servicios Postales y Telegráficos</t>
  </si>
  <si>
    <t>Servicios Integrales y Otros Servicios</t>
  </si>
  <si>
    <t>Otros Arrendamientos</t>
  </si>
  <si>
    <t>Servicios Legales Contab. y Auditoría</t>
  </si>
  <si>
    <t>Serv. Consultoría Admva, Procesos</t>
  </si>
  <si>
    <t>Servicios de Capacitación</t>
  </si>
  <si>
    <t>Servicios Profesionales, Cient. y Técnicos</t>
  </si>
  <si>
    <t>Seguro de Bienes Patrimoniales</t>
  </si>
  <si>
    <t>Servicios Fin., Banc. y Comerciales</t>
  </si>
  <si>
    <t>Cons. y Mant. Menor de Inmuebles</t>
  </si>
  <si>
    <t>Inst. Rep. y Mant. De Mobiliario</t>
  </si>
  <si>
    <t>Reparación y Mant. Equipo de Transporte</t>
  </si>
  <si>
    <t>Serv. Limpieza y Manejo de Desechos</t>
  </si>
  <si>
    <t>Viáticos en el País</t>
  </si>
  <si>
    <t>Viáticos en el Extranjero</t>
  </si>
  <si>
    <t>Congresos y Convenciones</t>
  </si>
  <si>
    <t>Reuniones Oficiales</t>
  </si>
  <si>
    <t>Otros Servicios Generales</t>
  </si>
  <si>
    <t>Servicios de Vigilancia</t>
  </si>
  <si>
    <t>Conservación y Mant. Menor Inmuebles</t>
  </si>
  <si>
    <t>Inst. Rep. y Mant. De Maquinaria</t>
  </si>
  <si>
    <t>Servicios Financieros y Bancarios</t>
  </si>
  <si>
    <t>INFRAESTRUCTURA</t>
  </si>
  <si>
    <t>Plan Ctas</t>
  </si>
  <si>
    <t>Descripción</t>
  </si>
  <si>
    <t>SERVICIOS PERSONALES</t>
  </si>
  <si>
    <t>MATERIALES Y SUMINISTROS</t>
  </si>
  <si>
    <t>SERVICIOS GENERALES</t>
  </si>
  <si>
    <t>GASTOS DE FUNCIONAMIENTO</t>
  </si>
  <si>
    <t>COMPLEJO INDUSTRIAL CHIHUAHUA</t>
  </si>
  <si>
    <t>PARQUE INDUSTRIAL AEROPUERTO (JUÁREZ)</t>
  </si>
  <si>
    <t>PARQUE INDUSTRIAL CUAUHTÉMOC</t>
  </si>
  <si>
    <t>PARQUE INDUSTRIAL PAQUIMÉ (N.C.G.)</t>
  </si>
  <si>
    <t>TOTAL GASTOS DE FUNCIONAMIENTO</t>
  </si>
  <si>
    <t>TOTAL COMPLEJO INDUSTRIAL CHIHUAHUA</t>
  </si>
  <si>
    <t>TOTAL PARQUE INDUSTRIAL AEROPUERTO</t>
  </si>
  <si>
    <t>TOTAL PARQUE INDUSTRIAL CUAUHTÉMOC</t>
  </si>
  <si>
    <t>TOTAL PARQUE INDUSTRIAL PARRAL</t>
  </si>
  <si>
    <t>TOTAL PARQUE INDUSTRIAL PAQUIMÉ</t>
  </si>
  <si>
    <t>PARQUE INDUSTRIAL CHIHUAHUA SUR</t>
  </si>
  <si>
    <t>Gas</t>
  </si>
  <si>
    <t>INTEGRACIÓN DE INGRESOS</t>
  </si>
  <si>
    <t>Rendimientos por inversiones</t>
  </si>
  <si>
    <t>Rendimientos bancarios</t>
  </si>
  <si>
    <t>Otros Ingresos</t>
  </si>
  <si>
    <t>TOTAL OTROS INGRESOS</t>
  </si>
  <si>
    <t>INTEGRACIÓN DE EGRESOS</t>
  </si>
  <si>
    <t>Materiales y Suministros</t>
  </si>
  <si>
    <t>Servicios Generales</t>
  </si>
  <si>
    <t>Servicios Personales</t>
  </si>
  <si>
    <t>OTROS GASTOS Y PÉRDIDAS</t>
  </si>
  <si>
    <t>INTEGRACIÓN DE LAS PRINCIPALES CUENTAS DE BALANCE</t>
  </si>
  <si>
    <t>1112-10001</t>
  </si>
  <si>
    <t>1112-10002</t>
  </si>
  <si>
    <t>1112-10003</t>
  </si>
  <si>
    <t>1112-10008</t>
  </si>
  <si>
    <t>1114-10001</t>
  </si>
  <si>
    <t>1114-10002</t>
  </si>
  <si>
    <t>1114-10003</t>
  </si>
  <si>
    <t xml:space="preserve">DOCUMENTOS POR COBRAR A LARGO PLAZO </t>
  </si>
  <si>
    <t>TOTAL DEUDORES DIVERSOS</t>
  </si>
  <si>
    <t>TOTAL COSTO DE SERVICIOS EN PARQUES</t>
  </si>
  <si>
    <t>Ingresos por Servicios en Parques</t>
  </si>
  <si>
    <t>Costo de Servicios en Parques</t>
  </si>
  <si>
    <t>TOTAL COSTOS Y GASTOS</t>
  </si>
  <si>
    <t>Otros Gastos y Pérdidas</t>
  </si>
  <si>
    <t xml:space="preserve">Otros Ingresos </t>
  </si>
  <si>
    <t>EFECTIVO</t>
  </si>
  <si>
    <t>CUENTAS POR COBRAR A CORTO PLAZO</t>
  </si>
  <si>
    <t>DEUDORES DIVERSOS A CORTO PLAZO</t>
  </si>
  <si>
    <t>ANTICIPO A PROV. DE BIENES INTANGIBLES</t>
  </si>
  <si>
    <t>VALORES EN GARANTÍA</t>
  </si>
  <si>
    <t>TITULOS Y VALORES A LARGO PLAZO</t>
  </si>
  <si>
    <t>DOCUMENTOS POR COBRAR A LARGO PLAZO</t>
  </si>
  <si>
    <t>TERRENOS</t>
  </si>
  <si>
    <t>EDIFICIOS NO HABITACIONALES</t>
  </si>
  <si>
    <t>MOBILIARIO Y EQUIPO DE ADMINISTRACION</t>
  </si>
  <si>
    <t>MAQUINARIA Y EQUIPO</t>
  </si>
  <si>
    <t>ACTIVOS INTANGIBLES</t>
  </si>
  <si>
    <t>DEPRECIACION ACUMULADA DE INMUEBLES</t>
  </si>
  <si>
    <t>DEPRECIACIÓN ACUMULADA DE BIENES MUEBLES</t>
  </si>
  <si>
    <t>RETENCIONES Y CONTRIBUCIONES POR PAGAR</t>
  </si>
  <si>
    <t>OTRAS CUENTAS POR PAGAR A CORTO PLAZO</t>
  </si>
  <si>
    <t>TOTAL DOC. POR COBRAR A LARGO PLAZO</t>
  </si>
  <si>
    <t>ESTADO DE RESULTADOS CONTRA PRESUPUESTO</t>
  </si>
  <si>
    <t>Utilidad Cambiaria</t>
  </si>
  <si>
    <t>ANTICIPOS DE TESORERÍA</t>
  </si>
  <si>
    <t>TOTAL ANTICIPOS DE TESORERIA</t>
  </si>
  <si>
    <t>Medicinas y Productos Farmacéuticos</t>
  </si>
  <si>
    <t>Aportaciones al Ichisal</t>
  </si>
  <si>
    <t>DOCUMENTOS POR PAGAR A CORTO PLAZO</t>
  </si>
  <si>
    <t>PROVEEDORES POR PAGAR A CORTO PLAZO</t>
  </si>
  <si>
    <t>INGRESOS POR RECUPERAR A CORTO PLAZO</t>
  </si>
  <si>
    <t>DEUDORES ANTICIPOS TESORERIA CORTO PLAZO</t>
  </si>
  <si>
    <t>INGRESOS COBRADOS ADELANTADO C. PLAZO</t>
  </si>
  <si>
    <t>TOTAL PARQUE INDUSTRIAL CHIHUAHUA SUR</t>
  </si>
  <si>
    <t>Complejo Ind. Chihuahua</t>
  </si>
  <si>
    <t>Parque Industrial Aeropuerto (Juárez)</t>
  </si>
  <si>
    <t>Parque Industrial Cuauhtémoc</t>
  </si>
  <si>
    <t>Parque Industrial Paquimé (N.C.G.)</t>
  </si>
  <si>
    <t>VENTA DE TERRENOS</t>
  </si>
  <si>
    <t>NUEVO CASAS GRANDES</t>
  </si>
  <si>
    <t>TOTAL GASTOS</t>
  </si>
  <si>
    <t>Administración</t>
  </si>
  <si>
    <t>Central</t>
  </si>
  <si>
    <t>Chihuahua Sur</t>
  </si>
  <si>
    <t>Origen</t>
  </si>
  <si>
    <t>Aplicación</t>
  </si>
  <si>
    <t>Endeudamiento Neto</t>
  </si>
  <si>
    <t>Servicios de la Deuda</t>
  </si>
  <si>
    <t>Concepto</t>
  </si>
  <si>
    <t>Rectificaciones de Resultados de Ejercicios Anteriores</t>
  </si>
  <si>
    <t>RESULTADO DEL EJERCICIO (AHORRO/DESAHORRO)</t>
  </si>
  <si>
    <t>GASTOS DE ADMINISTRACIÓN CENTRAL</t>
  </si>
  <si>
    <t>Gastos de  Administración Central</t>
  </si>
  <si>
    <t>TOTAL GASTOS DE ADMINISTRACION CENTRAL</t>
  </si>
  <si>
    <t>Devengado</t>
  </si>
  <si>
    <t>TOTAL GASTOS DE ADMINISTRACIÓN CENTRAL</t>
  </si>
  <si>
    <t>INDICADORES DEL PRESUPUESTO BASADO EN RESULTADOS</t>
  </si>
  <si>
    <t>PROPÓSITO</t>
  </si>
  <si>
    <t>RESULTADO</t>
  </si>
  <si>
    <t>META</t>
  </si>
  <si>
    <t>COMPONENTE 1</t>
  </si>
  <si>
    <t>MANTENIMIENTO, VIGILANCIA Y AGUA</t>
  </si>
  <si>
    <t>MANTENIMIENTO Y VIGILANCIA</t>
  </si>
  <si>
    <t>MANTENIMIENTO</t>
  </si>
  <si>
    <t>AGUA</t>
  </si>
  <si>
    <t>Complejo Industrial Chihuahua</t>
  </si>
  <si>
    <t>Parque Industrial Aeropuerto</t>
  </si>
  <si>
    <t>Parque Industrial Paquime</t>
  </si>
  <si>
    <t>COMPONENTE 2</t>
  </si>
  <si>
    <t>Parque Industrial Paquimé</t>
  </si>
  <si>
    <t>EXTRAIDOS</t>
  </si>
  <si>
    <t>FACTURADOS</t>
  </si>
  <si>
    <t>ACTIVIDAD 1.1</t>
  </si>
  <si>
    <t>ACTIVIDAD 2.1</t>
  </si>
  <si>
    <t>RELACIÓN DE LOTES</t>
  </si>
  <si>
    <t>VALOR ADQ.</t>
  </si>
  <si>
    <t>FECHA DE ALTA</t>
  </si>
  <si>
    <t>FECHA REGISTRO</t>
  </si>
  <si>
    <t>LIBRO</t>
  </si>
  <si>
    <t>SECCION</t>
  </si>
  <si>
    <t>FOLIO</t>
  </si>
  <si>
    <t>DISTRITO</t>
  </si>
  <si>
    <t>SUPERFICIE</t>
  </si>
  <si>
    <t>M2 TOTALES</t>
  </si>
  <si>
    <t xml:space="preserve">AVALUO </t>
  </si>
  <si>
    <t xml:space="preserve">VALOR </t>
  </si>
  <si>
    <t>VALORES REESTRUCTURA CONTABILIDAD</t>
  </si>
  <si>
    <t>MAN</t>
  </si>
  <si>
    <t>LOTE</t>
  </si>
  <si>
    <t>NOMBRE DEL USUARIO</t>
  </si>
  <si>
    <t>UBICACIÓN</t>
  </si>
  <si>
    <t>DISPONIBLE M2</t>
  </si>
  <si>
    <t>SERVICIOS</t>
  </si>
  <si>
    <t>URBANIZ.</t>
  </si>
  <si>
    <t>SIN URB.</t>
  </si>
  <si>
    <t>VALOR AVALUO</t>
  </si>
  <si>
    <t>M2 VALUADOS</t>
  </si>
  <si>
    <t>AJUSTADO M2</t>
  </si>
  <si>
    <t>M2</t>
  </si>
  <si>
    <t>VALUADOR</t>
  </si>
  <si>
    <t>FECHA</t>
  </si>
  <si>
    <t>Uso Propio</t>
  </si>
  <si>
    <t>Breña</t>
  </si>
  <si>
    <t>Proc. Urb.</t>
  </si>
  <si>
    <t>Urbanizado</t>
  </si>
  <si>
    <t>A PRORRATEAR</t>
  </si>
  <si>
    <t>11-B</t>
  </si>
  <si>
    <t>POZO 1 PROMOTORA</t>
  </si>
  <si>
    <t>COMPLEJO IND CHIH</t>
  </si>
  <si>
    <t>Rodolfo Ruiz González</t>
  </si>
  <si>
    <t>C</t>
  </si>
  <si>
    <t>K.1/1.20</t>
  </si>
  <si>
    <t>9-A-1</t>
  </si>
  <si>
    <t>POZO 8 PROMOTORA / JMAS</t>
  </si>
  <si>
    <t>K.1/1.24</t>
  </si>
  <si>
    <t>13-A</t>
  </si>
  <si>
    <t>POZO 4</t>
  </si>
  <si>
    <t>K.1/1.23</t>
  </si>
  <si>
    <t>6 fr II-B</t>
  </si>
  <si>
    <t>PROMOTORA (Pago especie de P. Ind. America)</t>
  </si>
  <si>
    <t>Estimado RRG</t>
  </si>
  <si>
    <t>E</t>
  </si>
  <si>
    <t>1-D</t>
  </si>
  <si>
    <t>POZO 6 Y TANQUE ELEVADO</t>
  </si>
  <si>
    <t>K.1/1.25</t>
  </si>
  <si>
    <t>PROMOTORA/ EDIFICIO SDI</t>
  </si>
  <si>
    <t>K.1/1.19</t>
  </si>
  <si>
    <t>16/17</t>
  </si>
  <si>
    <t>PROMOTORA / LEON TOLSTOI</t>
  </si>
  <si>
    <t>K.1/1.18</t>
  </si>
  <si>
    <t>PROMOTORA / ESTACIONAMIENTO LEON TOLSTOI</t>
  </si>
  <si>
    <t>1A.</t>
  </si>
  <si>
    <t>MORELOS</t>
  </si>
  <si>
    <t>PROMOTORA / SDI</t>
  </si>
  <si>
    <t>K.1/1.22</t>
  </si>
  <si>
    <t>1B</t>
  </si>
  <si>
    <t>PROMOTORA / CANCHAS DEPORTIVAS</t>
  </si>
  <si>
    <t>K.1/1.21</t>
  </si>
  <si>
    <t>PROMOTORA/Atrás ADUANA</t>
  </si>
  <si>
    <t>Roberto Guzman Nava</t>
  </si>
  <si>
    <t>Nota: Verificar el ajuste por valuacion en m2.</t>
  </si>
  <si>
    <t>AVENIDA COLON (DENNYS)</t>
  </si>
  <si>
    <t>Abelardo Casas</t>
  </si>
  <si>
    <t>Edificio PICH donado por Mpio. (esc. 9798)</t>
  </si>
  <si>
    <t>COMPLEJO IND CHIH (COMODATO CNA)</t>
  </si>
  <si>
    <t>CHIHUAHUA-RESERVA NORTE</t>
  </si>
  <si>
    <t>PROMOTORA (Atrás Planta Coca-Cola)</t>
  </si>
  <si>
    <t>CHIHUAHUA RESERVA NORTE</t>
  </si>
  <si>
    <t>Antonio de la Mora Prieto</t>
  </si>
  <si>
    <t>K.1/1.2</t>
  </si>
  <si>
    <t>PARQUE INDUSTRIAL CD. CHIHUAHUA SUR</t>
  </si>
  <si>
    <t>PROYECTO 1</t>
  </si>
  <si>
    <t>PARQUE IND CHIHUAHUA SUR</t>
  </si>
  <si>
    <t>Gutiérrez Calderón, S.C.</t>
  </si>
  <si>
    <t>k.1/1.30</t>
  </si>
  <si>
    <t>PROYECTO 3 (Para venta a Superior)</t>
  </si>
  <si>
    <t>RESERVA T</t>
  </si>
  <si>
    <t>a prorratear</t>
  </si>
  <si>
    <t>EQUIPAMIENTO</t>
  </si>
  <si>
    <t>AREA M</t>
  </si>
  <si>
    <t>Estimado GC,S.C.</t>
  </si>
  <si>
    <t>ADQ. JULIO ORNELAS (parcelas 20,102,22,41,29,69,6,18,19)</t>
  </si>
  <si>
    <t>Costo Adquisición</t>
  </si>
  <si>
    <t>A</t>
  </si>
  <si>
    <t>Cotejado vs escritura, mayor.</t>
  </si>
  <si>
    <t>NOTA: VERIFICAR SI SE CARGARON A GASTOS O A TERRENOS LOS HONORARIOS POR LA ELABORACION DE ESCRITURAS POR 111,1149.80, ELABORACION DE AVALUOS, PLANOS Y PAGO DE IMPTOS LA CANT DE 1,058,177.50</t>
  </si>
  <si>
    <t>ADQ. JULIO ORNELAS (parcela 25Z-1 P-1/1)</t>
  </si>
  <si>
    <t>ADQ. JULIO ORNELAS</t>
  </si>
  <si>
    <t>1,5,9</t>
  </si>
  <si>
    <t>DONACION DE MPIO. DE CHIH. (entre parcelas 92 y 98)</t>
  </si>
  <si>
    <t>CATASTRO</t>
  </si>
  <si>
    <t>CA</t>
  </si>
  <si>
    <t>Cotejado vs avalúo de catastro</t>
  </si>
  <si>
    <t>2,6,9,10,5,1</t>
  </si>
  <si>
    <t>DONACION DE MPIO. DE CHIH. (parcela 92)</t>
  </si>
  <si>
    <t>PARCELAS 297, 227, 228, 238, 237</t>
  </si>
  <si>
    <t>TABALAOPA (PARQUE SUR)</t>
  </si>
  <si>
    <t>ADQ. JESUS ALFONSO PAZOS LINARES (parcela 242 Z-2 P2/2) escritura 15,356</t>
  </si>
  <si>
    <t>ADQ. JORGE VILLARINO DOMINGUEZ (parcela 241Z-2 P2/2) escritura 15,356</t>
  </si>
  <si>
    <t>ADQ. SAUL ARMENDARIZ GARCIA (parcela 212)</t>
  </si>
  <si>
    <t>RESERVA AEROPUERTO</t>
  </si>
  <si>
    <t>ADQ. AGUSTIN LOPEZ DAUMAS</t>
  </si>
  <si>
    <t>CONCORDIA (PARQUE SUR)</t>
  </si>
  <si>
    <t>SUMAS</t>
  </si>
  <si>
    <t>PARQUE INDUSTRIAL AEROPUERTO CD. JUAREZ</t>
  </si>
  <si>
    <t>AVALUO</t>
  </si>
  <si>
    <t>INDICE</t>
  </si>
  <si>
    <t>OBSERVACIONES</t>
  </si>
  <si>
    <t>DISPONIBLE</t>
  </si>
  <si>
    <t>URBANIZADA</t>
  </si>
  <si>
    <t>POZO 1 (Con oficina móvil)</t>
  </si>
  <si>
    <t>PARQUE IND AEROPUERTO</t>
  </si>
  <si>
    <t>K.1/1.16</t>
  </si>
  <si>
    <t>7 Y 8</t>
  </si>
  <si>
    <t>S/N</t>
  </si>
  <si>
    <t>POZO 2 PROMOTORA</t>
  </si>
  <si>
    <t>K.1/1.17</t>
  </si>
  <si>
    <t>SAMALAYUCA (EL CANTON)</t>
  </si>
  <si>
    <t>POLIGONO A</t>
  </si>
  <si>
    <t>PROMOTORA (Incluye Cereso)</t>
  </si>
  <si>
    <t>BRAVOS</t>
  </si>
  <si>
    <t>Estimado Zaragoza Yonk</t>
  </si>
  <si>
    <t>POLIGONO B</t>
  </si>
  <si>
    <t>PROMOTORA</t>
  </si>
  <si>
    <t>|</t>
  </si>
  <si>
    <t>EJE JUAN GABRIEL</t>
  </si>
  <si>
    <t>PERMUTA CON SRIA. DE SALUD</t>
  </si>
  <si>
    <t>Oscar Alfonso Rey Solis</t>
  </si>
  <si>
    <t>K.1/1.10</t>
  </si>
  <si>
    <t>Nota: verificar el avaluo ajustado en m2</t>
  </si>
  <si>
    <t>ZARAGOZA (YONKEROS)</t>
  </si>
  <si>
    <t>RESERVA ZARAGOZA CD. JUAREZ (YONKEROS)</t>
  </si>
  <si>
    <t>PROMOTORA (DONADO SDUE 2004)</t>
  </si>
  <si>
    <t>ZARAGOZA/YONKEROS</t>
  </si>
  <si>
    <t>RESERVA SAN JERONIMO CD. JUAREZ</t>
  </si>
  <si>
    <t>PROMOTORA (ADQ. INM. SAN JERONIMO 2004)</t>
  </si>
  <si>
    <t>SAN JERONIMO</t>
  </si>
  <si>
    <t>K.1/1.13</t>
  </si>
  <si>
    <t>PRORRATEO GASTOS DE JULIO</t>
  </si>
  <si>
    <t>1-B</t>
  </si>
  <si>
    <t>POZO 1</t>
  </si>
  <si>
    <t>PARQUE CUAUHTEMOC</t>
  </si>
  <si>
    <t>k.1/1.45</t>
  </si>
  <si>
    <t xml:space="preserve">PROMOTORA </t>
  </si>
  <si>
    <t>k.1/1.47</t>
  </si>
  <si>
    <t>6-B</t>
  </si>
  <si>
    <t>SERVIDUMBRE</t>
  </si>
  <si>
    <t>k.1/1.41</t>
  </si>
  <si>
    <t>7-A</t>
  </si>
  <si>
    <t>PROMOTORA (Ofrecido Area Deportiva)</t>
  </si>
  <si>
    <t>PROMOTORA BEISBOL (Por desincorporar)</t>
  </si>
  <si>
    <t>4-A</t>
  </si>
  <si>
    <t>POZO 2</t>
  </si>
  <si>
    <t>k.1/1.44</t>
  </si>
  <si>
    <t>PROMOTORA pago en especie de P.IND. AMERICA</t>
  </si>
  <si>
    <t>2-B</t>
  </si>
  <si>
    <t>PROMOTORA.</t>
  </si>
  <si>
    <t>PROMOTORA. (Prestado a Quiroproductos)</t>
  </si>
  <si>
    <t>k.1/1.42</t>
  </si>
  <si>
    <t>NOTA: VERIFICAR AJUSTE POR AVALUO DE M2</t>
  </si>
  <si>
    <t>OFICINAS PROMOTORA</t>
  </si>
  <si>
    <t>k.1/1.43</t>
  </si>
  <si>
    <t>5A</t>
  </si>
  <si>
    <t>TANQUE ELEVADO</t>
  </si>
  <si>
    <t>Vialidad interna P. Beisbol (Por desincorporar)</t>
  </si>
  <si>
    <t>2a etapa</t>
  </si>
  <si>
    <t>permuta Consejo empresarial Cuauhtemoc</t>
  </si>
  <si>
    <t>PARQUE PARRAL 1a. Etapa</t>
  </si>
  <si>
    <t>PROMOTORA (Reversión de Ecotransfer)</t>
  </si>
  <si>
    <t>1-A</t>
  </si>
  <si>
    <t>PROMOTORA OFICINA</t>
  </si>
  <si>
    <t>k.1/1.48</t>
  </si>
  <si>
    <t>TANQUE DE ALMACENAMIENTO</t>
  </si>
  <si>
    <t>PARQUE PARRAL 2a. Etapa</t>
  </si>
  <si>
    <t>k.1/1.49</t>
  </si>
  <si>
    <t>DISPONIBLE PARA VENTA</t>
  </si>
  <si>
    <t>k.1/1.51</t>
  </si>
  <si>
    <t>Nota: Verificar el ajuste de la valuacion por m2.</t>
  </si>
  <si>
    <t>FUERA DEL PARQUE INDUSTRIAL</t>
  </si>
  <si>
    <t>parcelas</t>
  </si>
  <si>
    <t>67 y 68</t>
  </si>
  <si>
    <t>PLANTA METALURGICA EXPERIMENTAL</t>
  </si>
  <si>
    <t>EJIDO LA ALMANCEÑA</t>
  </si>
  <si>
    <t>PAGO EN ESPECIE IMPULSORA COMERCIAL EL CAMINO (AVE. CENTAURO DEL NTE COL. INFONAVIT REAL VICTORIA)</t>
  </si>
  <si>
    <t>HDO. DEL PARRAL</t>
  </si>
  <si>
    <t>PARQUE INDUSTRIAL PAQUIMÉ</t>
  </si>
  <si>
    <t>RELACIÓN DE LOTES DENTRO DEL PARQUE</t>
  </si>
  <si>
    <t>2-A</t>
  </si>
  <si>
    <t>POZO Y TANQUE</t>
  </si>
  <si>
    <t>PARQUE PAQUIME</t>
  </si>
  <si>
    <t>k.1/1.40</t>
  </si>
  <si>
    <t>k.1/1.38</t>
  </si>
  <si>
    <t>Nota: Verificar el ajuste de valuacion en m2.</t>
  </si>
  <si>
    <t>8-B</t>
  </si>
  <si>
    <t>1 AL 8</t>
  </si>
  <si>
    <t>PROMOTORA TOTAL M-5</t>
  </si>
  <si>
    <t>SUPERFICIES FUERA DEL PARQUE PAQUIME</t>
  </si>
  <si>
    <t>GALEANA</t>
  </si>
  <si>
    <t>FUERA DEL PARQUE</t>
  </si>
  <si>
    <t>11-A</t>
  </si>
  <si>
    <t>12-A</t>
  </si>
  <si>
    <t>12-B</t>
  </si>
  <si>
    <t>PARQUE DEPORTIVO</t>
  </si>
  <si>
    <t>Rodolfo Ruiz Gonzalez</t>
  </si>
  <si>
    <t>k.1/1.39</t>
  </si>
  <si>
    <t>NAICA</t>
  </si>
  <si>
    <t>Z-1</t>
  </si>
  <si>
    <t>Valuado al costo de adquisicion. El costo de adquisicion esta respaldado por un avalúo, realizado el 28 de mayo de 2004.</t>
  </si>
  <si>
    <t>JORGE PAZOS LINARES</t>
  </si>
  <si>
    <t>ESC. 7865</t>
  </si>
  <si>
    <t>COL. ADOLFO ORIVE</t>
  </si>
  <si>
    <t>PROMOTORA DERECHO VIA</t>
  </si>
  <si>
    <t>Estimado RIC</t>
  </si>
  <si>
    <t>PROMOTORA (DERECHO VIA DUCTOS)</t>
  </si>
  <si>
    <t>Roberto Ibarra Caballero</t>
  </si>
  <si>
    <t>k.1/1.54</t>
  </si>
  <si>
    <t>PROMOTORA ESQUINA HORTALIZAS</t>
  </si>
  <si>
    <t>PROMOTORA (Ofrecido a Margarita Barraza)</t>
  </si>
  <si>
    <t>k.1/1.55</t>
  </si>
  <si>
    <t>RESERVA ANÁHUAC</t>
  </si>
  <si>
    <t>PROMOTORA (Adquisiciones y permutas)</t>
  </si>
  <si>
    <t>ANAHUAC</t>
  </si>
  <si>
    <t>2003-2004</t>
  </si>
  <si>
    <t>k.1/1.61</t>
  </si>
  <si>
    <t>Integracion terrenos Anahuac</t>
  </si>
  <si>
    <t>(Hidroponicos Centuaro)</t>
  </si>
  <si>
    <t>REVERSION TERRENO ACM</t>
  </si>
  <si>
    <t>PRIMERA</t>
  </si>
  <si>
    <t>RESERVA PALOMAS CRUCES FRONTERIZOS</t>
  </si>
  <si>
    <t>1,2,3,4</t>
  </si>
  <si>
    <t>PROMOTORA (ADQ. SERGIO J. ROMERO FLORES esc. 8258)</t>
  </si>
  <si>
    <t>PALOMAS/CRUCES</t>
  </si>
  <si>
    <t>k.1/1.59</t>
  </si>
  <si>
    <t>Nota: Estos terrenos se valuaron al costo de adquisicion. En el contrato de compra venta, se estipula el como precio de compra venta 7,500,000.00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</si>
  <si>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7,500,000.00.ver poliza D-58 del 31/08/05.</t>
  </si>
  <si>
    <t>PROMOTORA (ADQ. ARACELY REAL CARVAJAL)</t>
  </si>
  <si>
    <t>k.1/1.57</t>
  </si>
  <si>
    <t>Nota: Estos terrenos se valuaron al costo de adquisicion. En el contrato de compra venta, se estipula el como precio de compra venta 1,750,000.00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</si>
  <si>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1,750,000.00</t>
  </si>
  <si>
    <t>JUAN MANUEL VELAZQUEZ MATANCILLAS (escritura 5075)</t>
  </si>
  <si>
    <t>ALMA IRENE SANCHEZ PORRAS (escritura 5078)</t>
  </si>
  <si>
    <t>MANUEL FLORES ORTEGA (escritura 5077)</t>
  </si>
  <si>
    <t>ANTONIO QUEZADA LICANO (escritura 5068)</t>
  </si>
  <si>
    <t>ARIANA APODACA YAÑEZ (escritura 5070)</t>
  </si>
  <si>
    <t>MOISES VELAZQUEZ MATANCILLAS (escritura 5069)</t>
  </si>
  <si>
    <t>SOCORRO JUAREZ GARCIA (escritura 5115)</t>
  </si>
  <si>
    <t>3 y 4</t>
  </si>
  <si>
    <t>JUAN VELAZQUEZ (escritura 5073)</t>
  </si>
  <si>
    <t>honorarios del villar esc. 5063 al 5073, 5075 al 5079 y 7 mas en proceso</t>
  </si>
  <si>
    <t>JOSE ALEJANDRO REY ALVARADO (escritura 8,502)</t>
  </si>
  <si>
    <t>VICTOR MANUEL REGALADO (esc. 5,076)</t>
  </si>
  <si>
    <t>ANGELICA TREVIZO MONTES (ESC. 5115)</t>
  </si>
  <si>
    <t>1 FRAC B</t>
  </si>
  <si>
    <t>MARIA GUADALUPE ORTIZ ENRIQUEZ (5079)</t>
  </si>
  <si>
    <t>MANUEL AGUIRRE ANDOLA (ESC. 5094)</t>
  </si>
  <si>
    <t>GLORIA MIRANDA (ESC. 5099)</t>
  </si>
  <si>
    <t>EMMA LILIA RAMOS ALONSO (ESC 5098)</t>
  </si>
  <si>
    <t>JOSE LUIS GARCIA NUÑEZ (ESC 5097)</t>
  </si>
  <si>
    <t>AARON CARRASCO IBARRA</t>
  </si>
  <si>
    <t>MARTIN RAMIREZ CAZAREZ (ESC. 5095)</t>
  </si>
  <si>
    <t>TOMASA MATANCILLAS ARROYOS (ESC. 5064)</t>
  </si>
  <si>
    <t>FRAC DEL 8</t>
  </si>
  <si>
    <t>MIREYA ACUÑA GRANADOS (ESC 5063)</t>
  </si>
  <si>
    <t>FRAC C DEL 1</t>
  </si>
  <si>
    <t>MARTIN FLORES URBINA (ESC. 5066)</t>
  </si>
  <si>
    <t>FRAC A DEL 1</t>
  </si>
  <si>
    <t>LOURDES MORALES (ESC. 5065)</t>
  </si>
  <si>
    <t>JOSE MARIA REY ALVARADO (ESC. 10,074)</t>
  </si>
  <si>
    <t>JOSE MARIA REY ALVARADO (ESC. 10,122)</t>
  </si>
  <si>
    <t>JUAN ANGEL REY SERRANO (ESC. 10,073)</t>
  </si>
  <si>
    <t>PARCELA 46 Z-9 P1/1</t>
  </si>
  <si>
    <t>ASCENSION</t>
  </si>
  <si>
    <t>PARCELA 47 Z-9 P1/1</t>
  </si>
  <si>
    <t>JUAN MANUEL RANGEL VAZQUEZ</t>
  </si>
  <si>
    <t>ESC. 6742</t>
  </si>
  <si>
    <t>APOLINAR VILLALOBOS ESTRADA</t>
  </si>
  <si>
    <t>ESC. 6743</t>
  </si>
  <si>
    <t>HILDA JUAREZ GARCIA</t>
  </si>
  <si>
    <t>ESC. 6739</t>
  </si>
  <si>
    <t>ELOISA ACUÑA HDEZ</t>
  </si>
  <si>
    <t>ESC. 5071</t>
  </si>
  <si>
    <t>MA. MAGDALENA QUINTANA JAQUEZ</t>
  </si>
  <si>
    <t>ESC. 6741</t>
  </si>
  <si>
    <t>BERTHA BENCOMO VELEZQUEZ</t>
  </si>
  <si>
    <t>ESC. 6738</t>
  </si>
  <si>
    <t>NATALIA VILLALOBOS ALVAREZ</t>
  </si>
  <si>
    <t>ESC. 6744</t>
  </si>
  <si>
    <t>Donacion de calles de Presidencia de Asencion</t>
  </si>
  <si>
    <t>TRASPASO D-9 MAR 2010 (ACTA COMITÉ 16 MAR 2010)</t>
  </si>
  <si>
    <t>8a</t>
  </si>
  <si>
    <t>Donacion por Mpio. De Ascencion</t>
  </si>
  <si>
    <t>RODRIGO M. QUEVEDO</t>
  </si>
  <si>
    <t>RESERVA EL BERRENDO CRUCES FRONTERIZOS</t>
  </si>
  <si>
    <t>esc. 6,302</t>
  </si>
  <si>
    <t>ADQ A EZZIO JAQUEZ QUINTANA</t>
  </si>
  <si>
    <t>JANOS</t>
  </si>
  <si>
    <t>ALDAMA</t>
  </si>
  <si>
    <t>k.1/1.53</t>
  </si>
  <si>
    <t>PROMOTORA INM. DE SACRAMENTO ESC. 8,322</t>
  </si>
  <si>
    <t>VILLA ALDAMA</t>
  </si>
  <si>
    <t>CAMARGO</t>
  </si>
  <si>
    <t>LA NOGALERA</t>
  </si>
  <si>
    <t>k.1/1.56</t>
  </si>
  <si>
    <t>EL SOLDADO</t>
  </si>
  <si>
    <t>SAUCILLO ENTRONQUE DELICIAS CAMARGO</t>
  </si>
  <si>
    <t>ENTRONQUE DELICIAS/CAMARGO</t>
  </si>
  <si>
    <t>k.1/1.34</t>
  </si>
  <si>
    <t>OJINAGA</t>
  </si>
  <si>
    <t>DELICIAS (PARQUE INDUSTRIAL DELICIAS)</t>
  </si>
  <si>
    <t>F-1</t>
  </si>
  <si>
    <t>SANTANDER SERFIN (PROYECTO KOHLER esc. 2323)</t>
  </si>
  <si>
    <t>DELICIAS</t>
  </si>
  <si>
    <t>TRASLACION DE DOMINIO (PROYECTO KOHLER)</t>
  </si>
  <si>
    <t>2,3,45,6,7</t>
  </si>
  <si>
    <t>PARQUE INDUSTRIAL DELICIAS escritura 770</t>
  </si>
  <si>
    <t>ABRAHAM GLEZ</t>
  </si>
  <si>
    <t>PARQUE IND. DELICIAS</t>
  </si>
  <si>
    <t>ISNCRIPCION TERRENO HONEYWELL 20 HAS</t>
  </si>
  <si>
    <t>RODOLFO PARRA GALLEGOS (escritura 2,863)</t>
  </si>
  <si>
    <t>1era</t>
  </si>
  <si>
    <t>1 FRAC A</t>
  </si>
  <si>
    <t>PARQUE INDUSTRIAL DELICIAS (escritura 2,421)</t>
  </si>
  <si>
    <t>1A</t>
  </si>
  <si>
    <t>traslacion dominio predio fertimex y ejido col. Terrazas</t>
  </si>
  <si>
    <t>ADQ. FCO. JAVIER GARCIA AVILA</t>
  </si>
  <si>
    <t xml:space="preserve">SERV. DE ADMON. Y ENAJENACION DE BIENES </t>
  </si>
  <si>
    <t>MICRO PARQUE LACTEOS</t>
  </si>
  <si>
    <t>OSCAR HUMBERTO TERRAZAS CARRASCO (parque lacteos delicias)</t>
  </si>
  <si>
    <t>de riego 05</t>
  </si>
  <si>
    <t>ROSALES</t>
  </si>
  <si>
    <t>VERONICA ISABEL AGUIRRE LLAMAS parcela 4437</t>
  </si>
  <si>
    <t>LA CIENEGA</t>
  </si>
  <si>
    <t>ESPUELA</t>
  </si>
  <si>
    <t>fraccion A de la fracc 1</t>
  </si>
  <si>
    <t>MARINA IBETT CALDERON GOMEZ parcela 4441</t>
  </si>
  <si>
    <t xml:space="preserve">fraccion A </t>
  </si>
  <si>
    <t>JAIME CASTAÑEDA ABUNDISparcela 4448</t>
  </si>
  <si>
    <t>fraccion A</t>
  </si>
  <si>
    <t>JAIME CASTAÑEDA parcela 4461</t>
  </si>
  <si>
    <t>fraccion B</t>
  </si>
  <si>
    <t>JORGE SOTO DIAZ parcela 4429</t>
  </si>
  <si>
    <t>DONACION DE GOB. DEL EDO DE CHIH.</t>
  </si>
  <si>
    <t>ALFFREDO CHAVEZ</t>
  </si>
  <si>
    <t>RIEGO 05</t>
  </si>
  <si>
    <t>MEOQUI</t>
  </si>
  <si>
    <t>GRAN TOTAL</t>
  </si>
  <si>
    <t>Impuesto Sobre Nóminas</t>
  </si>
  <si>
    <t>Buenaventura Autopartes Yazaki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</si>
  <si>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</si>
  <si>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</si>
  <si>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</si>
  <si>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</si>
  <si>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</si>
  <si>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</si>
  <si>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</si>
  <si>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</si>
  <si>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Contribuciones de Mejoras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</si>
  <si>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</si>
  <si>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</si>
  <si>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</si>
  <si>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</si>
  <si>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</si>
  <si>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</si>
  <si>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</si>
  <si>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</si>
  <si>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</si>
  <si>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</si>
  <si>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</si>
  <si>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</si>
  <si>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</si>
  <si>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</si>
  <si>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</si>
  <si>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</si>
  <si>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</si>
  <si>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</si>
  <si>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</si>
  <si>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</si>
  <si>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</si>
  <si>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</si>
  <si>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</si>
  <si>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</si>
  <si>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</si>
  <si>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</si>
  <si>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</si>
  <si>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</si>
  <si>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</si>
  <si>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</si>
  <si>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</si>
  <si>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</si>
  <si>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</si>
  <si>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</si>
  <si>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</si>
  <si>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</si>
  <si>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</si>
  <si>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</si>
  <si>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</si>
  <si>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</si>
  <si>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</si>
  <si>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</si>
  <si>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</si>
  <si>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</si>
  <si>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</si>
  <si>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</si>
  <si>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 BACILIO JAVIER MARRUFO PEREZ</t>
  </si>
  <si>
    <t>JEFE DE UNIDAD DE ADMINISTRACIÓN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</si>
  <si>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</si>
  <si>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</si>
  <si>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</si>
  <si>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</si>
  <si>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</si>
  <si>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</si>
  <si>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</si>
  <si>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</si>
  <si>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</si>
  <si>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</si>
  <si>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</si>
  <si>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</si>
  <si>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</si>
  <si>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</si>
  <si>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</si>
  <si>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</si>
  <si>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</si>
  <si>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</si>
  <si>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</si>
  <si>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</si>
  <si>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</si>
  <si>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</si>
  <si>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</si>
  <si>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</si>
  <si>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</si>
  <si>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</si>
  <si>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</si>
  <si>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</si>
  <si>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</si>
  <si>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</si>
  <si>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</si>
  <si>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</si>
  <si>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</si>
  <si>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</si>
  <si>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</si>
  <si>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</si>
  <si>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</si>
  <si>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</si>
  <si>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</si>
  <si>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</si>
  <si>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</si>
  <si>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</si>
  <si>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</si>
  <si>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</si>
  <si>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</si>
  <si>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</si>
  <si>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</si>
  <si>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</si>
  <si>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</si>
  <si>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</si>
  <si>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</si>
  <si>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</si>
  <si>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</si>
  <si>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</si>
  <si>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</si>
  <si>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</si>
  <si>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</si>
  <si>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</si>
  <si>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</si>
  <si>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</si>
  <si>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</si>
  <si>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</si>
  <si>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</si>
  <si>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</si>
  <si>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</si>
  <si>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</si>
  <si>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</si>
  <si>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</si>
  <si>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</si>
  <si>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</si>
  <si>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</si>
  <si>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</si>
  <si>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</si>
  <si>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</si>
  <si>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</si>
  <si>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</si>
  <si>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</si>
  <si>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</si>
  <si>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</si>
  <si>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</si>
  <si>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</si>
  <si>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</si>
  <si>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</si>
  <si>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</si>
  <si>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</si>
  <si>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</si>
  <si>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</si>
  <si>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 BACILIO JAVIER MARRUFO PÉREZ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</si>
  <si>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</si>
  <si>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</si>
  <si>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</si>
  <si>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</si>
  <si>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</si>
  <si>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</si>
  <si>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</si>
  <si>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</si>
  <si>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</si>
  <si>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</si>
  <si>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</si>
  <si>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</si>
  <si>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</si>
  <si>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</si>
  <si>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</si>
  <si>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</si>
  <si>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</si>
  <si>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</si>
  <si>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</si>
  <si>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</si>
  <si>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</si>
  <si>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</si>
  <si>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</si>
  <si>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</si>
  <si>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</si>
  <si>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</si>
  <si>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</si>
  <si>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</si>
  <si>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</si>
  <si>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</si>
  <si>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</si>
  <si>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</si>
  <si>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</si>
  <si>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</si>
  <si>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</si>
  <si>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</si>
  <si>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</si>
  <si>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</si>
  <si>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</si>
  <si>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</si>
  <si>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</si>
  <si>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</si>
  <si>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</si>
  <si>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</si>
  <si>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</si>
  <si>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</si>
  <si>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</si>
  <si>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</si>
  <si>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</si>
  <si>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</si>
  <si>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</si>
  <si>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</si>
  <si>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</si>
  <si>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</si>
  <si>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</si>
  <si>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</si>
  <si>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</si>
  <si>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</si>
  <si>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</si>
  <si>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</si>
  <si>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</si>
  <si>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</si>
  <si>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</si>
  <si>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</si>
  <si>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</si>
  <si>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</si>
  <si>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</si>
  <si>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</si>
  <si>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</si>
  <si>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</si>
  <si>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</si>
  <si>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</si>
  <si>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</si>
  <si>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</si>
  <si>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</si>
  <si>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</si>
  <si>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</si>
  <si>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</si>
  <si>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</si>
  <si>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</si>
  <si>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</si>
  <si>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</si>
  <si>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</si>
  <si>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</si>
  <si>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</si>
  <si>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</si>
  <si>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</si>
  <si>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</si>
  <si>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</si>
  <si>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</si>
  <si>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</si>
  <si>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</si>
  <si>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</si>
  <si>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</si>
  <si>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</si>
  <si>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</si>
  <si>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</si>
  <si>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</si>
  <si>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</si>
  <si>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</si>
  <si>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</si>
  <si>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</si>
  <si>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</si>
  <si>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</si>
  <si>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</si>
  <si>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</si>
  <si>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</si>
  <si>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</si>
  <si>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</si>
  <si>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</si>
  <si>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</si>
  <si>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</si>
  <si>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</si>
  <si>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</si>
  <si>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</si>
  <si>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</si>
  <si>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</si>
  <si>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</si>
  <si>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</si>
  <si>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</si>
  <si>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</si>
  <si>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</si>
  <si>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</si>
  <si>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</si>
  <si>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</si>
  <si>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</si>
  <si>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</si>
  <si>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</si>
  <si>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</si>
  <si>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</si>
  <si>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</si>
  <si>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</si>
  <si>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</si>
  <si>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</si>
  <si>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</si>
  <si>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</si>
  <si>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</si>
  <si>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</si>
  <si>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</si>
  <si>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</si>
  <si>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</si>
  <si>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</si>
  <si>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</si>
  <si>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</si>
  <si>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</si>
  <si>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</si>
  <si>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</si>
  <si>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</si>
  <si>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</si>
  <si>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</si>
  <si>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</si>
  <si>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</si>
  <si>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</si>
  <si>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</si>
  <si>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</si>
  <si>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</si>
  <si>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</si>
  <si>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</si>
  <si>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</si>
  <si>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</si>
  <si>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</si>
  <si>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</si>
  <si>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</si>
  <si>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</si>
  <si>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</si>
  <si>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</si>
  <si>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</si>
  <si>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</si>
  <si>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</si>
  <si>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</si>
  <si>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</si>
  <si>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</si>
  <si>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</si>
  <si>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</si>
  <si>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</si>
  <si>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</si>
  <si>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</si>
  <si>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</si>
  <si>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</si>
  <si>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</si>
  <si>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</si>
  <si>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</si>
  <si>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</si>
  <si>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</si>
  <si>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</si>
  <si>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</si>
  <si>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</si>
  <si>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</si>
  <si>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Programa Fomento Industrial - Gasto Corriente</t>
  </si>
  <si>
    <t>Banorte</t>
  </si>
  <si>
    <t>0128947777</t>
  </si>
  <si>
    <t>0135020670</t>
  </si>
  <si>
    <t>4481-4514</t>
  </si>
  <si>
    <t>Programa Fomento Industrial - Gasto Corriente Dólares</t>
  </si>
  <si>
    <t>4481-9000775</t>
  </si>
  <si>
    <t>Saldo</t>
  </si>
  <si>
    <t>DIFERENCIA</t>
  </si>
  <si>
    <t>Secretaría de Hacienda y Crédito Público</t>
  </si>
  <si>
    <t>Impuestos federales ISR, e IVA</t>
  </si>
  <si>
    <t>BIENES MUEBLES E INMUEBLES</t>
  </si>
  <si>
    <t>SALDO</t>
  </si>
  <si>
    <t>DEPREC. EJERCICIO</t>
  </si>
  <si>
    <t>DEPREC. ACUM.</t>
  </si>
  <si>
    <t>TASA DEPREC.</t>
  </si>
  <si>
    <t>No Aplica</t>
  </si>
  <si>
    <t>10% y 33.33%</t>
  </si>
  <si>
    <t>GASTOS Y PÉRDIDAS</t>
  </si>
  <si>
    <t>Efectivo en Cajas Chicas</t>
  </si>
  <si>
    <t>Efectivo en Bancos</t>
  </si>
  <si>
    <t>Inversiones temporales</t>
  </si>
  <si>
    <t>Total de Efectivo y Equivalentes</t>
  </si>
  <si>
    <t>Ahorro/Desahorro antes de rubros extraordinarios</t>
  </si>
  <si>
    <t>Movimientos de partidas que no afectan al efectivo</t>
  </si>
  <si>
    <t>Depreciación</t>
  </si>
  <si>
    <t>Ganancia/pérdida en venta de propiedad, planta y equipo</t>
  </si>
  <si>
    <t>Costo de venta de terrenos</t>
  </si>
  <si>
    <t>Flujo Neto de Actividades de Operación</t>
  </si>
  <si>
    <t>Pérdidas por tipo de cambio</t>
  </si>
  <si>
    <t>Otras pérdidas</t>
  </si>
  <si>
    <t>diferencia</t>
  </si>
  <si>
    <t>Conciliación entre los Ingresos Presupuestarios y Contables</t>
  </si>
  <si>
    <t>1. Ingresos Presupuestarios</t>
  </si>
  <si>
    <t>2. Más ingresos contables no presupuestarios</t>
  </si>
  <si>
    <t>Otros ingresos y beneficios varios</t>
  </si>
  <si>
    <t>3. Menos ingresos presupuestarios no contables</t>
  </si>
  <si>
    <t>Productos de capital</t>
  </si>
  <si>
    <t>Otros ingresos presupuestarios no contables</t>
  </si>
  <si>
    <t>4. Ingresos Contables</t>
  </si>
  <si>
    <t>Conciliación entre los Egresos Presupuestarios y los Gastos Contables</t>
  </si>
  <si>
    <t>2. Menos egresos presupuestarios no contables</t>
  </si>
  <si>
    <t>Otros egresos presupuestarios no contables</t>
  </si>
  <si>
    <t>Estimaciones, depreciaciones, amortizaciones</t>
  </si>
  <si>
    <t>Otros gastos</t>
  </si>
  <si>
    <t>Subsidios y subvenciones</t>
  </si>
  <si>
    <t>4. Total del Gasto Contable</t>
  </si>
  <si>
    <t>Deuda</t>
  </si>
  <si>
    <t>Recaudación</t>
  </si>
  <si>
    <t>Porcentaje</t>
  </si>
  <si>
    <t>Intereses pagados</t>
  </si>
  <si>
    <t>Tasa</t>
  </si>
  <si>
    <t>Vencimiento</t>
  </si>
  <si>
    <t>Retenciones y contribuciones por pagar</t>
  </si>
  <si>
    <t>Mensual</t>
  </si>
  <si>
    <t>Otros menores</t>
  </si>
  <si>
    <t>1. Total de Egresos (Presupuestarios)</t>
  </si>
  <si>
    <t>3. Más gastos contables no presupuestarios</t>
  </si>
  <si>
    <t>Importe</t>
  </si>
  <si>
    <t>Impuestos y Derechos   (Predial, IVA No. Acr)</t>
  </si>
  <si>
    <t>TABLAS DIVERSAS PARA NOTAS A LOS ESTADOS FINANCIEROS</t>
  </si>
  <si>
    <t>ESTADO DE SITUACIÓN FINANCIERA</t>
  </si>
  <si>
    <t>EFECTIVO Y EQUIVALENTES</t>
  </si>
  <si>
    <t>ACTIVO CIRCULANTE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</si>
  <si>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</si>
  <si>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</si>
  <si>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</si>
  <si>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</si>
  <si>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</si>
  <si>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</si>
  <si>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</si>
  <si>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DEPRECIACIÓN, DETERIORO Y AMORTIZACIÓN ACUMULADA DE BIENES</t>
  </si>
  <si>
    <t>Dif Dep. Ejerc</t>
  </si>
  <si>
    <t>Dif Dep. Acum</t>
  </si>
  <si>
    <t>Incremento o disminución en cuentas por cobrar</t>
  </si>
  <si>
    <t>ACTIVO</t>
  </si>
  <si>
    <t>Manufacturas Estampadas, SA de CV</t>
  </si>
  <si>
    <t>Maquinaria, SA de CV</t>
  </si>
  <si>
    <t>TRANSPORTATION AND CARGO SOLUTIONS S DE RL DE CV</t>
  </si>
  <si>
    <t>Joel Arturo Payan Monares</t>
  </si>
  <si>
    <t>Fideicomiso F/00291</t>
  </si>
  <si>
    <t>Lutron CNC S de RL de CV</t>
  </si>
  <si>
    <t>Parque Industrial Juarez, SA de CV</t>
  </si>
  <si>
    <t>Alejandro Leyva Reyes</t>
  </si>
  <si>
    <t>Javier Morrem Garcia</t>
  </si>
  <si>
    <t>SECRETARIA DE TURISMO</t>
  </si>
  <si>
    <t>Grupo Empresarial Podelsa, SA de CV</t>
  </si>
  <si>
    <t>Gala Diseño en Muebles, SA de CV</t>
  </si>
  <si>
    <t>Centro de Servicios Metrologicos, S de RL de CV</t>
  </si>
  <si>
    <t>FW CKD D FIDEICOMISO CIB/2104</t>
  </si>
  <si>
    <t>BIMBO SA DE CV</t>
  </si>
  <si>
    <t>Honeywell Aerospace de México, S de RL de CV</t>
  </si>
  <si>
    <t>Intereses por venta de terrenos</t>
  </si>
  <si>
    <t>Lorenzo Rafael Porras Moran</t>
  </si>
  <si>
    <t>FAMSA MEXICO, SA DE CV</t>
  </si>
  <si>
    <t>FW CKD MASTER TRUST F/1836</t>
  </si>
  <si>
    <t>Ingresos por Subsidios</t>
  </si>
  <si>
    <t>INGRESOS POR SUBSIDIOS</t>
  </si>
  <si>
    <t>TOTAL INGRESOS POR SUBSIDIOS</t>
  </si>
  <si>
    <t>Participaciones, subsidios y otras ayudas</t>
  </si>
  <si>
    <t>Recubrimientos Interceramic SA de CV</t>
  </si>
  <si>
    <t>Arturo Federico Rico Granillo</t>
  </si>
  <si>
    <t>Ferbaq Ferreteria, SA de CV</t>
  </si>
  <si>
    <t>Arrow Internacional de Chihuahua, SA de CV</t>
  </si>
  <si>
    <t>Molinos Azteca, SA de CV</t>
  </si>
  <si>
    <t>Importaciones La Llamarada, SA de CV</t>
  </si>
  <si>
    <t>Representaciones Verdes de México, SA de CV</t>
  </si>
  <si>
    <t>EMPRESA</t>
  </si>
  <si>
    <t>AGUA, MANTENIMIENTO Y VIGILANCIA</t>
  </si>
  <si>
    <t>Accudyn de México, S de RL de CV</t>
  </si>
  <si>
    <t>AB Pollo, SA de CV</t>
  </si>
  <si>
    <t>Aditivos y Recubrimientos Técnicos, SA</t>
  </si>
  <si>
    <t>Administracion y Consultorías de Chihuahua, SA de CV</t>
  </si>
  <si>
    <t>Agri Estrella, S de RL de CV</t>
  </si>
  <si>
    <t>Agua y Hielo Purificados, SA de CV</t>
  </si>
  <si>
    <t>Alejandro Medina Martínez</t>
  </si>
  <si>
    <t>Alestra, S de RL de CV</t>
  </si>
  <si>
    <t>Altec Electronica Chihuahua, SA de CV</t>
  </si>
  <si>
    <t>American Beef, SA de CV</t>
  </si>
  <si>
    <t>Ana Bertha Margarita de la Garza Lascuraín</t>
  </si>
  <si>
    <t>Ana Margarita S PR de RL de CV</t>
  </si>
  <si>
    <t>Arnoldo Valencia Ortiz</t>
  </si>
  <si>
    <t>Arrendamientos Arma, SA de CV</t>
  </si>
  <si>
    <t>Asociación de Maquiladoras y Exp. De Chihuahua, AC</t>
  </si>
  <si>
    <t>Auto Fletera de Chihuahua SA de CV</t>
  </si>
  <si>
    <t>Automatización y Tecnología Mexicana SA de CV</t>
  </si>
  <si>
    <t>Autotransportes del Real SA de CV</t>
  </si>
  <si>
    <t>Autotransportres de Carga Tres Guerras SA de CV</t>
  </si>
  <si>
    <t>Autronic, SA de CV</t>
  </si>
  <si>
    <t>Axis Arquitectura, SA de CV</t>
  </si>
  <si>
    <t>Bachoco SA de CV</t>
  </si>
  <si>
    <t xml:space="preserve">Banco del Bajío, SA </t>
  </si>
  <si>
    <t>Banco Nacional de México, S.A</t>
  </si>
  <si>
    <t>Bebidas Purificadas, S de RL de CV</t>
  </si>
  <si>
    <t>Bienes Raices Lom, SA de CV</t>
  </si>
  <si>
    <t>Bimbo, SA de CV</t>
  </si>
  <si>
    <t>Bio Pappel Products, SA de CV</t>
  </si>
  <si>
    <t>Oxxo Express, SA de CV</t>
  </si>
  <si>
    <t>Cadisa, SA de CV</t>
  </si>
  <si>
    <t>Canplast México SA de CV</t>
  </si>
  <si>
    <t>Carlirsle Productos de México, S de RL de CV</t>
  </si>
  <si>
    <t>Century Mold México, S de RL de CV</t>
  </si>
  <si>
    <t>Cessna México, S de RL de CV</t>
  </si>
  <si>
    <t>Chihuahua Meat Visa Qualitty, SA de CV</t>
  </si>
  <si>
    <t>Cía de Teléfonos y Bienes Raíces SA de CV</t>
  </si>
  <si>
    <t>Come Camila D1, SA de CV</t>
  </si>
  <si>
    <t>Comercializadora de Lacteos y Derivados SA de CV</t>
  </si>
  <si>
    <t>Comercializadora y Desarrolladora del Norte Sa de CV</t>
  </si>
  <si>
    <t>Comisión Federal de Electricidad</t>
  </si>
  <si>
    <t>Consolidated Medical Equipmet Company S de RL de CV</t>
  </si>
  <si>
    <t>Construcciones Nirvana, SA de CV</t>
  </si>
  <si>
    <t>Constructora Adobe, SA de CV</t>
  </si>
  <si>
    <t>Constructora y Proveedora Ferretodo, SA de CV</t>
  </si>
  <si>
    <t>Controladora IDEA, SA de CV</t>
  </si>
  <si>
    <t xml:space="preserve">  </t>
  </si>
  <si>
    <t>Corporación Electromecanica de Chihuahua, SA de CV</t>
  </si>
  <si>
    <t>Demo Technic,S de RL de CV</t>
  </si>
  <si>
    <t>Desarrollo de Ingenieria y Contratación, SA de CV</t>
  </si>
  <si>
    <t>DHL Express México, SA de CV</t>
  </si>
  <si>
    <t>Digital Applicance Controls de Mexico, SA de CV</t>
  </si>
  <si>
    <t>Distribuidor Mobile Hidraulico e Industrial, SA de CV</t>
  </si>
  <si>
    <t>Distribuidora de Cervezas Modelo en Chihuahua, SA de CV</t>
  </si>
  <si>
    <t>Don Miguel Transportes S de RL de CV</t>
  </si>
  <si>
    <t>Durabox de Chihuahua S de RL de CV</t>
  </si>
  <si>
    <t>Empaques el Paraiso, S de RLMI</t>
  </si>
  <si>
    <t>Equipos Osenal, SA de CV</t>
  </si>
  <si>
    <t>Estapack SAPI de CV</t>
  </si>
  <si>
    <t>ETTCOM, SA DE CV</t>
  </si>
  <si>
    <t>EUROMOLDURAS, SA DE CV</t>
  </si>
  <si>
    <t>Express Tres Fronteras, SA de CV</t>
  </si>
  <si>
    <t>F/1622 FIBRA MACQUARIE MEXICO</t>
  </si>
  <si>
    <t>Fabricas de Jabón La Corona, SA de CV</t>
  </si>
  <si>
    <t>Factoria Industrial, SA de CV</t>
  </si>
  <si>
    <t>Farmacia Guadalajara, SA de CV</t>
  </si>
  <si>
    <t>FASE Chihuahua, SA de CV</t>
  </si>
  <si>
    <t>Fideicomiso F/00335</t>
  </si>
  <si>
    <t>Fideicomiso Número F/129</t>
  </si>
  <si>
    <t>Fletes Astro SA de CV</t>
  </si>
  <si>
    <t>Fletes México Chihuahua,SA de CV</t>
  </si>
  <si>
    <t>Fletes Sotelo SA de CV</t>
  </si>
  <si>
    <t>Ford Motor Company. S.A. de C.V.</t>
  </si>
  <si>
    <t>F-R Tecnologías de Flujo, SA de CV</t>
  </si>
  <si>
    <t>Frugasa, SA de CV</t>
  </si>
  <si>
    <t>Fruver, SA de CV</t>
  </si>
  <si>
    <t>Gastronomicas Smokehouse México, SA de CV</t>
  </si>
  <si>
    <t>GCC Concreto, SA de CV</t>
  </si>
  <si>
    <t>GEN Industrial, SA de CV</t>
  </si>
  <si>
    <t>Global Products Co. SA de CV</t>
  </si>
  <si>
    <t>Gobierno de Estado de Chihuahua/ Recaudación</t>
  </si>
  <si>
    <t>Grainger, SA de CV</t>
  </si>
  <si>
    <t>Grupo American Industries, SA de CV</t>
  </si>
  <si>
    <t>Grupo American Industries, SA de CV (CAV)</t>
  </si>
  <si>
    <t>Grupo American Industries, SA de CV (CAV ICE)</t>
  </si>
  <si>
    <t>Grupo American Industries, SA de CV (Metal Finishing Co)</t>
  </si>
  <si>
    <t>Grupo American Industries, SA de CV (L3)</t>
  </si>
  <si>
    <t>Grupo American Industries, SA de CV (ADS)</t>
  </si>
  <si>
    <t>Southco, S de RL de CV</t>
  </si>
  <si>
    <t>Grupo Amex SA de CV</t>
  </si>
  <si>
    <t>Grupo Comercial de México, SA de CV</t>
  </si>
  <si>
    <t>Grupo Pasan de Chihuahua, SA de CV</t>
  </si>
  <si>
    <t>Grupo TBGas SA de CV</t>
  </si>
  <si>
    <t>Hawker Beech de México, S de RL de CV</t>
  </si>
  <si>
    <t>Helm de México, SA</t>
  </si>
  <si>
    <t>Herme´s y Asociados, SA de CV</t>
  </si>
  <si>
    <t>Hidrotecnología Ecologica, SA de CV</t>
  </si>
  <si>
    <t>Hiscomex, SA de CV</t>
  </si>
  <si>
    <t>Honeywell Manufacturas de Chihuahua, S de RL de CV</t>
  </si>
  <si>
    <t>Impresos y Artículos de Publicidad SA de CV (planta 1)</t>
  </si>
  <si>
    <t>Impresos y Artículos de Publicidad SA de CV (planta 2)</t>
  </si>
  <si>
    <t>Impulsora Sahuayo, SA de CV</t>
  </si>
  <si>
    <t>INDICON, SA de CV</t>
  </si>
  <si>
    <t>Industrias Unidas, SA de CV</t>
  </si>
  <si>
    <t>Ingeniería y Diseño Van, SA de CV</t>
  </si>
  <si>
    <t>Inmobiliaria CC SA de CV</t>
  </si>
  <si>
    <t>Inmobiliaria Comercial Intermex, SA de CV</t>
  </si>
  <si>
    <t>Inmobiliaria Los Berrendos, SA de CV</t>
  </si>
  <si>
    <t>Inmobiliaria Madoz SA de CV</t>
  </si>
  <si>
    <t>inmobiliaria Madoz SA de CV (Escuela de Chefs)</t>
  </si>
  <si>
    <t>Inmobiliaria Tomas Valles Vivar SA de CV</t>
  </si>
  <si>
    <t>Inmuebles Urbe SA de CV</t>
  </si>
  <si>
    <t>Integrated International Services, S de RL de CV</t>
  </si>
  <si>
    <t>Intermex Manufactura de Chihuahua, SA de CV</t>
  </si>
  <si>
    <t>Intermex Manufactura de Chihuahua, SA de CV (Manoir)</t>
  </si>
  <si>
    <t>Intermex Manufactura de Chihuahua, SA de CV (NIFCO)</t>
  </si>
  <si>
    <t>Intermex Manufactura de Chihuahua, SA de CV (Zodiac)</t>
  </si>
  <si>
    <t>International Paper México Company, S de RL de CV</t>
  </si>
  <si>
    <t>IPC Chihuahua, SA de CV</t>
  </si>
  <si>
    <t>ISSSTE</t>
  </si>
  <si>
    <t>Jabil Circuit de Chihuahua, S de RL de CV</t>
  </si>
  <si>
    <t>José A. Amador Hernández</t>
  </si>
  <si>
    <t>José de Jesús Alonso Rodríguez</t>
  </si>
  <si>
    <t>Juan Manuel Rubio Unibe</t>
  </si>
  <si>
    <t>Kalisch Fierro y Acero, SA de CV</t>
  </si>
  <si>
    <t>Key Plastics de México, S de RL de CV</t>
  </si>
  <si>
    <t>Labinal de Chihuahua, SA de CV (planta 1)</t>
  </si>
  <si>
    <t>Labinal de Chihuahua, SA de CV (planta 2)</t>
  </si>
  <si>
    <t>Llantas y Herramientas, SA de CV</t>
  </si>
  <si>
    <t>Lorenzo Eguiarte Tallavas</t>
  </si>
  <si>
    <t>Luis Carlos Chávez Loya</t>
  </si>
  <si>
    <t>Luis Raúl Porras Delgado</t>
  </si>
  <si>
    <t>Mansour Mining Technologies de México, SA de CV</t>
  </si>
  <si>
    <t>Manyser Manufacturas y Servicios, SA de CV</t>
  </si>
  <si>
    <t>María Merced de la Torres Jaureguí</t>
  </si>
  <si>
    <t>Marlo Industrias SA de CV</t>
  </si>
  <si>
    <t>Material Constructor, SA de CV</t>
  </si>
  <si>
    <t>MGS Plastics Chihuahua, SA de CV</t>
  </si>
  <si>
    <t>Minas Guilloyna, SA de CV</t>
  </si>
  <si>
    <t>Minpro, SA de CV</t>
  </si>
  <si>
    <t>Molinos Azteca SA de CV</t>
  </si>
  <si>
    <t>Mueblerías Futurama, SA de CV</t>
  </si>
  <si>
    <t>Muelles y Suspenciones el Dragón SA de CV</t>
  </si>
  <si>
    <t>Nalco de México, S de RL de CV</t>
  </si>
  <si>
    <t>NIFCO DE MÉXICO, S DE RL DE CV</t>
  </si>
  <si>
    <t>Operación Técnica Industrial de Manejo de Almacenes,SA de CV</t>
  </si>
  <si>
    <t>Operaciones Hoteleras de Chihuahua  SA de CV</t>
  </si>
  <si>
    <t>Operadora Futurama S.A. de C.V.</t>
  </si>
  <si>
    <t>Operadora la Sierra, SA de CV</t>
  </si>
  <si>
    <t>Pace Industries de Chihuahua II, SA de CV</t>
  </si>
  <si>
    <t>Pactiv México, S de RL de CV</t>
  </si>
  <si>
    <t>Papelera KIF de México, SA de CV</t>
  </si>
  <si>
    <t>Pavimentos de la Laguna,SA de CV</t>
  </si>
  <si>
    <t>Pick-One, SA de CV</t>
  </si>
  <si>
    <t>Plasmatec Metalizaciones SA de CV</t>
  </si>
  <si>
    <t>Plaza San Ignacio, AC</t>
  </si>
  <si>
    <t>Pochteca Materias Primas, SA de CV</t>
  </si>
  <si>
    <t>Pregis México S de RL de CV</t>
  </si>
  <si>
    <t>Productos Chachitos SA de CV</t>
  </si>
  <si>
    <t>Productos de Consumo Z, SA de CV</t>
  </si>
  <si>
    <t>Promotora de Restaurantes de Norte, SA de CV</t>
  </si>
  <si>
    <t>Promotora Industrial GIM, SA de CV</t>
  </si>
  <si>
    <t>Proveedora de Seguridad Industrial de Chihuahua, SA de CV</t>
  </si>
  <si>
    <t>Proveedora de Servicios y Cultura Fisica DABSE, SA de CV</t>
  </si>
  <si>
    <t>Proyecto Pidea KRC F/128</t>
  </si>
  <si>
    <t>Proyecto PIDEA-KRC F/129</t>
  </si>
  <si>
    <t>Saimexicana, SA de CV</t>
  </si>
  <si>
    <t>Sensotek, S de RL de CV</t>
  </si>
  <si>
    <t>Servicio de Administración Tributaria</t>
  </si>
  <si>
    <t>Servicio de Manufactura y Desarrollo, SA de CV (Logistica)</t>
  </si>
  <si>
    <t>Servicio Internacional de Logistica y Transporte, SA de CV</t>
  </si>
  <si>
    <t>Servicio RG SA de CV</t>
  </si>
  <si>
    <t>Servicios de Ingenieria y Calidad ACOR, SA de CV</t>
  </si>
  <si>
    <t>Servicios Garica SA de CV</t>
  </si>
  <si>
    <t>Servicios Integrales Ruta, SA de CV</t>
  </si>
  <si>
    <t>SERVICIOS SWECOMEX, SA DE CV</t>
  </si>
  <si>
    <t>Sistemas y Productos de Señalización S de RL de CV</t>
  </si>
  <si>
    <t>Span de México, SA de CV</t>
  </si>
  <si>
    <t>ST Plastics, S de RL</t>
  </si>
  <si>
    <t>Superior Bright Technologies, S de RL de CV</t>
  </si>
  <si>
    <t>Tanner Maquinas y Herramientas, SA de CV</t>
  </si>
  <si>
    <t>TBC de México, SA de CV</t>
  </si>
  <si>
    <t>Tomas Ramon Miranda Granillo</t>
  </si>
  <si>
    <t>TP Nearshore, S de RL de CV</t>
  </si>
  <si>
    <t>Tractocamiones Kenworth de Chihuahua, SA de CV</t>
  </si>
  <si>
    <t>Transervicios SA de CV</t>
  </si>
  <si>
    <t>Transpojit, SA de CV</t>
  </si>
  <si>
    <t>Transportation and Cargo Solutions, S de RL de CV</t>
  </si>
  <si>
    <t>Transportes Foraneos y Locales del Río Grande, SA de CV</t>
  </si>
  <si>
    <t>Transportes Julian de Obregon. SA de CV</t>
  </si>
  <si>
    <t>Transportes Soto e Hijos, SA de CV</t>
  </si>
  <si>
    <t>Transportes Thomas, SA de CV</t>
  </si>
  <si>
    <t>TSI Solutions Services S de RL de CV</t>
  </si>
  <si>
    <t>Viakable, SA de CV</t>
  </si>
  <si>
    <t>Viga y Lamina, SA de CV</t>
  </si>
  <si>
    <t>VTC West, SA de CV</t>
  </si>
  <si>
    <t>Wit-Son Carbide de México, SA de CV</t>
  </si>
  <si>
    <t>Xomox Chihuahua SA de CV</t>
  </si>
  <si>
    <t>NOMBRE</t>
  </si>
  <si>
    <t>AGUA Y MANTENIMIENTO</t>
  </si>
  <si>
    <t>Almacenes Distribuidores de la Frontera</t>
  </si>
  <si>
    <t>Alquiladora de Casas, SA de CV</t>
  </si>
  <si>
    <t>Autotanques Nieto, SA de CV</t>
  </si>
  <si>
    <t>Centro de Fabricantes, SA de CV</t>
  </si>
  <si>
    <t>Davol Surgical Innovations, SA de CV</t>
  </si>
  <si>
    <t>Héctor Francisco García Acosta</t>
  </si>
  <si>
    <t>Inmobiliaria Zeta de Cd. Juarez SA de CV</t>
  </si>
  <si>
    <t>Instituto de Apoyo al Desarrollo Tecnológico</t>
  </si>
  <si>
    <t>Manufacturas y Rejillas de México, SA de CV</t>
  </si>
  <si>
    <t>Maquilados Técnicos, SA de CV</t>
  </si>
  <si>
    <t>Operadora Mpal. De Estacionamientos de Cd. Juárez</t>
  </si>
  <si>
    <t>Praxair México, S de RL de CV</t>
  </si>
  <si>
    <t>Repanor de México, SA de CV</t>
  </si>
  <si>
    <t>Supermercados González de Altavista SA de CV</t>
  </si>
  <si>
    <t>Tafi SA de CV</t>
  </si>
  <si>
    <t>Tractocamiones y Refacciones de Chihuahua, SA de CV</t>
  </si>
  <si>
    <t>Tractores y Equipos de Chihuahua, SA de CV</t>
  </si>
  <si>
    <t>FW CKD FIDEICOMISO CIB/2104</t>
  </si>
  <si>
    <t>Arvato de México, SA de CV</t>
  </si>
  <si>
    <t>FW CKD MASTER TRUSTS F/1836</t>
  </si>
  <si>
    <t>Desarrollos Inmobiliarios Bermudez, SA de CV</t>
  </si>
  <si>
    <t>Desarrollo Ind. Tarahumara, SA</t>
  </si>
  <si>
    <t>Repuestos del Noroeste, SA de CV</t>
  </si>
  <si>
    <t>Cía. De Telefonos y Bienes Raíces, SA de CV</t>
  </si>
  <si>
    <t>Quiroproductos de Cuauhtemoc, SA de CV</t>
  </si>
  <si>
    <t>Parque Ind. Int. Mexicano, SA de CV</t>
  </si>
  <si>
    <t>Crashmetal FWF de México, S de RL de CV</t>
  </si>
  <si>
    <t>Intermetro de México, S de RL de Cv</t>
  </si>
  <si>
    <t>GCC Concreto SA de CV</t>
  </si>
  <si>
    <t>Leoni Cable, SA de CV</t>
  </si>
  <si>
    <t>Centro de Investigacion en Alimentacion y Desarrollo AC</t>
  </si>
  <si>
    <t>Kalish Chatarra, SA de CV</t>
  </si>
  <si>
    <t>Armando Vega Chavarría</t>
  </si>
  <si>
    <t>Kalish Fierro y Acero, SA de CV</t>
  </si>
  <si>
    <t>Sun View Foods, SA de CV</t>
  </si>
  <si>
    <t>Superior Industries de México, S de RL de CV</t>
  </si>
  <si>
    <t>Fokker, SA de CV</t>
  </si>
  <si>
    <t>Arnprior,SA de CV</t>
  </si>
  <si>
    <t>INADET</t>
  </si>
  <si>
    <t>Tighitco Latinoamerica, SA de CV</t>
  </si>
  <si>
    <t>Precision Omega, SA de CV</t>
  </si>
  <si>
    <t>Parque American Industries, SA de CV</t>
  </si>
  <si>
    <t>Mexroll México, S.A. de C.V.</t>
  </si>
  <si>
    <t>Victaulic, SA de CV</t>
  </si>
  <si>
    <t>VIGILANCIA</t>
  </si>
  <si>
    <t xml:space="preserve">MANTENIMIENTO </t>
  </si>
  <si>
    <t>ADMÓN PROGRAMAS</t>
  </si>
  <si>
    <t>SOUTHCO S DE RL DE CV</t>
  </si>
  <si>
    <t>Gustavo Arenivar Romero parcela 450 Z-1 P1/1</t>
  </si>
  <si>
    <t>ISABEL LOPEZ MARQUEZ</t>
  </si>
  <si>
    <t>ENRQUE ARANDA CASTILLO</t>
  </si>
  <si>
    <t xml:space="preserve">VARIACIONES DEL PRESUPUESTO DE EGRESOS </t>
  </si>
  <si>
    <t>TSI SOLUTIONS SERVICES S DE RL DE CV</t>
  </si>
  <si>
    <t>Aceros Levinson, SA de CV</t>
  </si>
  <si>
    <t>Corporativo AGA, SA de CV</t>
  </si>
  <si>
    <t>Deutsche Bank México, SA</t>
  </si>
  <si>
    <t>Florinda Chávez Renova</t>
  </si>
  <si>
    <t>Graficos y Corrugados de Parral, SA de CV</t>
  </si>
  <si>
    <t>Grupo Calibeb, SA de CV</t>
  </si>
  <si>
    <t>Grupo OR Diseño y Construccion, SA de CV</t>
  </si>
  <si>
    <t>Honeywell Centro de Investigación y Desarrollo,  S de RL</t>
  </si>
  <si>
    <t>Gas Natural de Juarez, SA de CV</t>
  </si>
  <si>
    <t>ETTCOM SA DE CV</t>
  </si>
  <si>
    <t>SALDO ANTERIOR</t>
  </si>
  <si>
    <t>M O V I M I E N T O S</t>
  </si>
  <si>
    <t>SALDO ACTUAL</t>
  </si>
  <si>
    <t>Nat.</t>
  </si>
  <si>
    <t>Cuenta</t>
  </si>
  <si>
    <t>Nombre de la cuenta</t>
  </si>
  <si>
    <t>DEUDOR</t>
  </si>
  <si>
    <t>ACREEDOR</t>
  </si>
  <si>
    <t>D</t>
  </si>
  <si>
    <t>1111</t>
  </si>
  <si>
    <t>1111-10001</t>
  </si>
  <si>
    <t>1111-10002</t>
  </si>
  <si>
    <t>1112</t>
  </si>
  <si>
    <t>BANCOS/TESORERÍA</t>
  </si>
  <si>
    <t>1112-10009</t>
  </si>
  <si>
    <t>1114</t>
  </si>
  <si>
    <t>INVERSIONES TEMPORALES (HASTA 3 MESES)</t>
  </si>
  <si>
    <t>1122</t>
  </si>
  <si>
    <t>1122-11002</t>
  </si>
  <si>
    <t>1122-11005</t>
  </si>
  <si>
    <t>1122-11007</t>
  </si>
  <si>
    <t>1122-11023</t>
  </si>
  <si>
    <t>1122-11031</t>
  </si>
  <si>
    <t>1122-11041</t>
  </si>
  <si>
    <t>1122-11046</t>
  </si>
  <si>
    <t>1122-11048</t>
  </si>
  <si>
    <t>1122-11052</t>
  </si>
  <si>
    <t>1122-11053</t>
  </si>
  <si>
    <t>1122-11060</t>
  </si>
  <si>
    <t>1122-11073</t>
  </si>
  <si>
    <t>1122-11075</t>
  </si>
  <si>
    <t>1122-11076</t>
  </si>
  <si>
    <t>1122-11078</t>
  </si>
  <si>
    <t>1122-11086</t>
  </si>
  <si>
    <t>1122-11087</t>
  </si>
  <si>
    <t>1122-11092</t>
  </si>
  <si>
    <t>1122-11100</t>
  </si>
  <si>
    <t>1122-11102</t>
  </si>
  <si>
    <t>1122-11103</t>
  </si>
  <si>
    <t>1122-11109</t>
  </si>
  <si>
    <t>1122-11123</t>
  </si>
  <si>
    <t>1122-11127</t>
  </si>
  <si>
    <t>1122-11145</t>
  </si>
  <si>
    <t>1122-11153</t>
  </si>
  <si>
    <t>1122-11173</t>
  </si>
  <si>
    <t>1122-11200</t>
  </si>
  <si>
    <t>1122-11232</t>
  </si>
  <si>
    <t>1122-11241</t>
  </si>
  <si>
    <t>1122-11250</t>
  </si>
  <si>
    <t>1122-11253</t>
  </si>
  <si>
    <t>1122-11259</t>
  </si>
  <si>
    <t>1122-11261</t>
  </si>
  <si>
    <t>1122-11276</t>
  </si>
  <si>
    <t>1122-11295</t>
  </si>
  <si>
    <t>1122-11296</t>
  </si>
  <si>
    <t>1122-11300</t>
  </si>
  <si>
    <t>1122-11310</t>
  </si>
  <si>
    <t>1122-11312</t>
  </si>
  <si>
    <t>1122-11320</t>
  </si>
  <si>
    <t>1122-11321</t>
  </si>
  <si>
    <t>1122-11326</t>
  </si>
  <si>
    <t>1122-11336</t>
  </si>
  <si>
    <t>1122-11353</t>
  </si>
  <si>
    <t>1122-11367</t>
  </si>
  <si>
    <t>1122-11370</t>
  </si>
  <si>
    <t>1122-11381</t>
  </si>
  <si>
    <t>1122-11390</t>
  </si>
  <si>
    <t>1122-11404</t>
  </si>
  <si>
    <t>1122-11413</t>
  </si>
  <si>
    <t>1122-11418</t>
  </si>
  <si>
    <t>1122-11419</t>
  </si>
  <si>
    <t>1122-11423</t>
  </si>
  <si>
    <t>1122-11432</t>
  </si>
  <si>
    <t>1122-11433</t>
  </si>
  <si>
    <t>1122-11435</t>
  </si>
  <si>
    <t>1122-11438</t>
  </si>
  <si>
    <t>1122-11439</t>
  </si>
  <si>
    <t>1122-11441</t>
  </si>
  <si>
    <t>1122-11442</t>
  </si>
  <si>
    <t>1122-11444</t>
  </si>
  <si>
    <t>1122-11448</t>
  </si>
  <si>
    <t>1122-11451</t>
  </si>
  <si>
    <t>1122-11454</t>
  </si>
  <si>
    <t>1122-11464</t>
  </si>
  <si>
    <t>1122-11468</t>
  </si>
  <si>
    <t>1122-11471</t>
  </si>
  <si>
    <t>1122-11473</t>
  </si>
  <si>
    <t>1122-11475</t>
  </si>
  <si>
    <t>1122-11476</t>
  </si>
  <si>
    <t>1122-11480</t>
  </si>
  <si>
    <t>1122-11485</t>
  </si>
  <si>
    <t>1122-11496</t>
  </si>
  <si>
    <t>1122-11505</t>
  </si>
  <si>
    <t>1122-11518</t>
  </si>
  <si>
    <t>1122-11521</t>
  </si>
  <si>
    <t>1122-11522</t>
  </si>
  <si>
    <t>1122-11524</t>
  </si>
  <si>
    <t>1122-11525</t>
  </si>
  <si>
    <t>1122-11541</t>
  </si>
  <si>
    <t>1122-11546</t>
  </si>
  <si>
    <t>1122-11552</t>
  </si>
  <si>
    <t>1122-11558</t>
  </si>
  <si>
    <t>1122-11561</t>
  </si>
  <si>
    <t>1122-11573</t>
  </si>
  <si>
    <t>1122-11604</t>
  </si>
  <si>
    <t>1122-11605</t>
  </si>
  <si>
    <t>1122-11606</t>
  </si>
  <si>
    <t>1122-11607</t>
  </si>
  <si>
    <t>1122-11611</t>
  </si>
  <si>
    <t>1122-11614</t>
  </si>
  <si>
    <t>1122-11621</t>
  </si>
  <si>
    <t>1122-11623</t>
  </si>
  <si>
    <t>1122-11626</t>
  </si>
  <si>
    <t>1122-11646</t>
  </si>
  <si>
    <t>1122-11669</t>
  </si>
  <si>
    <t>1122-11671</t>
  </si>
  <si>
    <t>1122-11677</t>
  </si>
  <si>
    <t>1122-11678</t>
  </si>
  <si>
    <t>1122-11679</t>
  </si>
  <si>
    <t>1122-11689</t>
  </si>
  <si>
    <t>1122-11691</t>
  </si>
  <si>
    <t>1122-11699</t>
  </si>
  <si>
    <t>1122-11701</t>
  </si>
  <si>
    <t>1122-11712</t>
  </si>
  <si>
    <t>1122-11715</t>
  </si>
  <si>
    <t>1122-11720</t>
  </si>
  <si>
    <t>1122-11721</t>
  </si>
  <si>
    <t>1122-11727</t>
  </si>
  <si>
    <t>1122-11728</t>
  </si>
  <si>
    <t>1122-11736</t>
  </si>
  <si>
    <t>1122-11737</t>
  </si>
  <si>
    <t>1122-11738</t>
  </si>
  <si>
    <t>1122-11744</t>
  </si>
  <si>
    <t>1122-11748</t>
  </si>
  <si>
    <t>1122-11749</t>
  </si>
  <si>
    <t>1122-11752</t>
  </si>
  <si>
    <t>1122-11754</t>
  </si>
  <si>
    <t>1122-11755</t>
  </si>
  <si>
    <t>1122-11762</t>
  </si>
  <si>
    <t>1122-11764</t>
  </si>
  <si>
    <t>1122-11765</t>
  </si>
  <si>
    <t>1122-11767</t>
  </si>
  <si>
    <t>1122-11768</t>
  </si>
  <si>
    <t>1122-11769</t>
  </si>
  <si>
    <t>1122-11770</t>
  </si>
  <si>
    <t>1122-11772</t>
  </si>
  <si>
    <t>1122-11773</t>
  </si>
  <si>
    <t>1122-11776</t>
  </si>
  <si>
    <t>1122-11778</t>
  </si>
  <si>
    <t>1122-11779</t>
  </si>
  <si>
    <t>1122-11781</t>
  </si>
  <si>
    <t>1122-11784</t>
  </si>
  <si>
    <t>1122-11789</t>
  </si>
  <si>
    <t>1122-11790</t>
  </si>
  <si>
    <t>1122-11801</t>
  </si>
  <si>
    <t>1122-11802</t>
  </si>
  <si>
    <t>1122-11805</t>
  </si>
  <si>
    <t>1122-11806</t>
  </si>
  <si>
    <t>1122-11809</t>
  </si>
  <si>
    <t>1122-11811</t>
  </si>
  <si>
    <t>1122-11812</t>
  </si>
  <si>
    <t>1122-11813</t>
  </si>
  <si>
    <t>1122-11814</t>
  </si>
  <si>
    <t>1122-11815</t>
  </si>
  <si>
    <t>1122-11816</t>
  </si>
  <si>
    <t>1122-11817</t>
  </si>
  <si>
    <t>1122-11818</t>
  </si>
  <si>
    <t>1122-11821</t>
  </si>
  <si>
    <t>1122-11822</t>
  </si>
  <si>
    <t>1122-11823</t>
  </si>
  <si>
    <t>1122-11830</t>
  </si>
  <si>
    <t>1122-11832</t>
  </si>
  <si>
    <t>1122-11834</t>
  </si>
  <si>
    <t>1122-11835</t>
  </si>
  <si>
    <t>1122-11837</t>
  </si>
  <si>
    <t>1122-11839</t>
  </si>
  <si>
    <t>1122-11842</t>
  </si>
  <si>
    <t>1122-11847</t>
  </si>
  <si>
    <t>1122-11849</t>
  </si>
  <si>
    <t>1122-11852</t>
  </si>
  <si>
    <t>1122-11853</t>
  </si>
  <si>
    <t>1122-11855</t>
  </si>
  <si>
    <t>1122-11856</t>
  </si>
  <si>
    <t>1122-11864</t>
  </si>
  <si>
    <t>1122-11865</t>
  </si>
  <si>
    <t>1122-11867</t>
  </si>
  <si>
    <t>1122-11870</t>
  </si>
  <si>
    <t>1122-11879</t>
  </si>
  <si>
    <t>1122-11881</t>
  </si>
  <si>
    <t>1122-11888</t>
  </si>
  <si>
    <t>1122-11889</t>
  </si>
  <si>
    <t>1122-11892</t>
  </si>
  <si>
    <t>1122-11893</t>
  </si>
  <si>
    <t>1122-11896</t>
  </si>
  <si>
    <t>1122-21007</t>
  </si>
  <si>
    <t>1122-21012</t>
  </si>
  <si>
    <t>1122-21017</t>
  </si>
  <si>
    <t>1122-21020</t>
  </si>
  <si>
    <t>1122-21062</t>
  </si>
  <si>
    <t>1122-21066</t>
  </si>
  <si>
    <t>1122-21077</t>
  </si>
  <si>
    <t>1122-21082</t>
  </si>
  <si>
    <t>1122-21083</t>
  </si>
  <si>
    <t>1122-21087</t>
  </si>
  <si>
    <t>1122-21089</t>
  </si>
  <si>
    <t>1122-21090</t>
  </si>
  <si>
    <t>1122-21093</t>
  </si>
  <si>
    <t>1122-31007</t>
  </si>
  <si>
    <t>1122-31013</t>
  </si>
  <si>
    <t>1122-31014</t>
  </si>
  <si>
    <t>1122-31017</t>
  </si>
  <si>
    <t>1122-31020</t>
  </si>
  <si>
    <t>1122-31024</t>
  </si>
  <si>
    <t>1122-31027</t>
  </si>
  <si>
    <t>1122-31028</t>
  </si>
  <si>
    <t>1122-51011</t>
  </si>
  <si>
    <t>1122-51013</t>
  </si>
  <si>
    <t>1122-51019</t>
  </si>
  <si>
    <t>1122-51021</t>
  </si>
  <si>
    <t>1122-51022</t>
  </si>
  <si>
    <t>1122-51024</t>
  </si>
  <si>
    <t>1123</t>
  </si>
  <si>
    <t>DEUDORES DIVERSOS POR COBRAR A CORTO PLAZO</t>
  </si>
  <si>
    <t>1123-10010</t>
  </si>
  <si>
    <t>1124</t>
  </si>
  <si>
    <t>1124-10001</t>
  </si>
  <si>
    <t>1124-10002</t>
  </si>
  <si>
    <t>1124-10003</t>
  </si>
  <si>
    <t>1124-10004</t>
  </si>
  <si>
    <t>1131</t>
  </si>
  <si>
    <t>1133</t>
  </si>
  <si>
    <t>1133-10001</t>
  </si>
  <si>
    <t>1133-10002</t>
  </si>
  <si>
    <t>1191</t>
  </si>
  <si>
    <t>1191-10001</t>
  </si>
  <si>
    <t>1212</t>
  </si>
  <si>
    <t>TÍTULOS Y VALORES A LARGO PLAZO</t>
  </si>
  <si>
    <t>1212-1</t>
  </si>
  <si>
    <t>Bonos a LP</t>
  </si>
  <si>
    <t>1212-10001</t>
  </si>
  <si>
    <t>1212-10006</t>
  </si>
  <si>
    <t>1231</t>
  </si>
  <si>
    <t>1233</t>
  </si>
  <si>
    <t>1233-58312</t>
  </si>
  <si>
    <t>1241</t>
  </si>
  <si>
    <t>MOBILIARIO Y EQUIPO DE ADMINISTRACIÓN</t>
  </si>
  <si>
    <t>1241-51112</t>
  </si>
  <si>
    <t>1241-51512</t>
  </si>
  <si>
    <t>1244</t>
  </si>
  <si>
    <t>1244-5</t>
  </si>
  <si>
    <t>Embarcaciones</t>
  </si>
  <si>
    <t>1244-54112</t>
  </si>
  <si>
    <t>1246</t>
  </si>
  <si>
    <t>MAQUINARIA, OTROS EQUIPOS Y HERRAMIENTAS</t>
  </si>
  <si>
    <t>1246-5</t>
  </si>
  <si>
    <t>Equipo de Comunicación y Telecomunicación</t>
  </si>
  <si>
    <t>1246-56212</t>
  </si>
  <si>
    <t>1250</t>
  </si>
  <si>
    <t>1261</t>
  </si>
  <si>
    <t>DEPRECIACIÓN ACUMULADA DE BIENES INMUEBLES</t>
  </si>
  <si>
    <t>1261-58312</t>
  </si>
  <si>
    <t>1263</t>
  </si>
  <si>
    <t>1263-51112</t>
  </si>
  <si>
    <t>1263-51512</t>
  </si>
  <si>
    <t>1263-54112</t>
  </si>
  <si>
    <t>1263-56212</t>
  </si>
  <si>
    <t>2111</t>
  </si>
  <si>
    <t>SERVICIOS PERSONALES POR PAGAR A CORTO PLAZO</t>
  </si>
  <si>
    <t>2111-1</t>
  </si>
  <si>
    <t>2111-3</t>
  </si>
  <si>
    <t>2111-4</t>
  </si>
  <si>
    <t>Seguridad Social y Seguros por pagar a CP</t>
  </si>
  <si>
    <t>2111-5</t>
  </si>
  <si>
    <t>2112</t>
  </si>
  <si>
    <t>2112-1</t>
  </si>
  <si>
    <t>2117</t>
  </si>
  <si>
    <t>2117-10001</t>
  </si>
  <si>
    <t>2117-10003</t>
  </si>
  <si>
    <t>2117-10005</t>
  </si>
  <si>
    <t>2117-10020</t>
  </si>
  <si>
    <t>2117-20005</t>
  </si>
  <si>
    <t>2117-20020</t>
  </si>
  <si>
    <t>2117-30005</t>
  </si>
  <si>
    <t>2117-30020</t>
  </si>
  <si>
    <t>2117-50005</t>
  </si>
  <si>
    <t>2117-50020</t>
  </si>
  <si>
    <t>2117-60020</t>
  </si>
  <si>
    <t>2119</t>
  </si>
  <si>
    <t>2119-10005</t>
  </si>
  <si>
    <t>2119-10008</t>
  </si>
  <si>
    <t>3110</t>
  </si>
  <si>
    <t>APORTACIONES</t>
  </si>
  <si>
    <t>3110-10001</t>
  </si>
  <si>
    <t>3130</t>
  </si>
  <si>
    <t>ACTUALIZACIÓN DE LA HACIENDA PÚBLICA/PATRIMONIO</t>
  </si>
  <si>
    <t>3130-10001</t>
  </si>
  <si>
    <t>3220</t>
  </si>
  <si>
    <t>RESULTADOS DE EJERCICIOS ANTERIORES</t>
  </si>
  <si>
    <t>3220-01997</t>
  </si>
  <si>
    <t>3220-01998</t>
  </si>
  <si>
    <t>3220-01999</t>
  </si>
  <si>
    <t>3220-02000</t>
  </si>
  <si>
    <t>3220-02001</t>
  </si>
  <si>
    <t>3220-02002</t>
  </si>
  <si>
    <t>3220-02003</t>
  </si>
  <si>
    <t>3220-02004</t>
  </si>
  <si>
    <t>3220-02005</t>
  </si>
  <si>
    <t>3220-02006</t>
  </si>
  <si>
    <t>3220-02007</t>
  </si>
  <si>
    <t>3220-02008</t>
  </si>
  <si>
    <t>3220-02009</t>
  </si>
  <si>
    <t>3220-02010</t>
  </si>
  <si>
    <t>3220-02011</t>
  </si>
  <si>
    <t>3220-02012</t>
  </si>
  <si>
    <t>3220-02013</t>
  </si>
  <si>
    <t>3220-02014</t>
  </si>
  <si>
    <t>3220-02015</t>
  </si>
  <si>
    <t>3310</t>
  </si>
  <si>
    <t>RESULTADO POR POSICIÓN MONETARIA</t>
  </si>
  <si>
    <t>3310-10001</t>
  </si>
  <si>
    <t>3320</t>
  </si>
  <si>
    <t>RESULTADO POR TENENCIA DE ACTIVOS NO MONETARIOS</t>
  </si>
  <si>
    <t>3320-10001</t>
  </si>
  <si>
    <t>4173</t>
  </si>
  <si>
    <t>4311</t>
  </si>
  <si>
    <t>4311-10001</t>
  </si>
  <si>
    <t>4311-10002</t>
  </si>
  <si>
    <t>4399</t>
  </si>
  <si>
    <t>OTROS INGRESOS Y BENEFICIOS VARIOS</t>
  </si>
  <si>
    <t>4399-10003</t>
  </si>
  <si>
    <t>5111</t>
  </si>
  <si>
    <t>REMUNERACIONES AL PERSONAL DE CARÁCTER PERMANENTE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</si>
  <si>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</si>
  <si>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</si>
  <si>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</si>
  <si>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</si>
  <si>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</si>
  <si>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</si>
  <si>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5121</t>
  </si>
  <si>
    <t>5126</t>
  </si>
  <si>
    <t>COMBUSTIBLES, LUBRICANTES Y ADITIVOS</t>
  </si>
  <si>
    <t>5131</t>
  </si>
  <si>
    <t>SERVICIOS BÁSICOS</t>
  </si>
  <si>
    <t>5133</t>
  </si>
  <si>
    <t>5134</t>
  </si>
  <si>
    <t>SERVICIOS FINANCIEROS, BANCARIOS Y COMERCIALES</t>
  </si>
  <si>
    <t>5135</t>
  </si>
  <si>
    <t>5137</t>
  </si>
  <si>
    <t>SERVICIOS DE TRASLADO Y VIÁTICOS</t>
  </si>
  <si>
    <t>5139</t>
  </si>
  <si>
    <t>OTROS SERVICIOS GENERALES</t>
  </si>
  <si>
    <t>5513</t>
  </si>
  <si>
    <t>DEPRECIACIÓN DE BIENES INMUEBLES</t>
  </si>
  <si>
    <t>5513-58312</t>
  </si>
  <si>
    <t>5515</t>
  </si>
  <si>
    <t>DEPRECIACIÓN DE BIENES MUEBLES</t>
  </si>
  <si>
    <t>5515-51112</t>
  </si>
  <si>
    <t>5515-51512</t>
  </si>
  <si>
    <t>5515-54112</t>
  </si>
  <si>
    <t>5515-56212</t>
  </si>
  <si>
    <t>5599</t>
  </si>
  <si>
    <t>OTROS GASTOS VARIOS</t>
  </si>
  <si>
    <t>5599-10001</t>
  </si>
  <si>
    <t>5599-10002</t>
  </si>
  <si>
    <t>8110</t>
  </si>
  <si>
    <t>LEY DE INGRESOS ESTIMADA</t>
  </si>
  <si>
    <t>8120</t>
  </si>
  <si>
    <t>LEY DE INGRESOS POR EJECUTAR</t>
  </si>
  <si>
    <t>8140</t>
  </si>
  <si>
    <t>LEY DE INGRESOS DEVENGADA</t>
  </si>
  <si>
    <t>8150</t>
  </si>
  <si>
    <t>LEY DE INGRESOS RECAUDADA</t>
  </si>
  <si>
    <t>8210</t>
  </si>
  <si>
    <t>PRESUPUESTO DE EGRESOS APROBADO</t>
  </si>
  <si>
    <t>HORAS EXTRAS</t>
  </si>
  <si>
    <t>DESPENSA</t>
  </si>
  <si>
    <t>COMBUSTIBLES</t>
  </si>
  <si>
    <t>8220</t>
  </si>
  <si>
    <t>PRESUPUESTO DE EGRESOS POR EJERCER</t>
  </si>
  <si>
    <t>8240</t>
  </si>
  <si>
    <t>PRESUPUESTO DE EGRESOS COMPROMETIDO</t>
  </si>
  <si>
    <t>8250</t>
  </si>
  <si>
    <t>PRESUPUESTO DE EGRESOS DEVENGADO</t>
  </si>
  <si>
    <t>8260</t>
  </si>
  <si>
    <t>PRESUPUESTO DE EGRESOS EJERCIDO</t>
  </si>
  <si>
    <t>8270</t>
  </si>
  <si>
    <t>PRESUPUESTO DE EGRESOS PAGADO</t>
  </si>
  <si>
    <t>Sumas =&gt;</t>
  </si>
  <si>
    <t>RESULTADO DEL EJERCICIO</t>
  </si>
  <si>
    <t>1122-11545</t>
  </si>
  <si>
    <t>1122-11895</t>
  </si>
  <si>
    <t>Carlos Enrique Arzate Ontiveros</t>
  </si>
  <si>
    <t>Efectivo</t>
  </si>
  <si>
    <t>Bancos/Tesorería</t>
  </si>
  <si>
    <t>Bancos/Dependencias y Otros</t>
  </si>
  <si>
    <t>Inversiones (hasta 3 meses)</t>
  </si>
  <si>
    <t>Fondos de afectación específica</t>
  </si>
  <si>
    <t>Depósitos de fondos de terceros en garantía</t>
  </si>
  <si>
    <t>Otros efectivos y equivalentes</t>
  </si>
  <si>
    <t>Inversiones financieras a corto plazo</t>
  </si>
  <si>
    <t>Cuentas por cobrar a corto plazo</t>
  </si>
  <si>
    <t>Deudores diversos por cobrar a corto plazo</t>
  </si>
  <si>
    <t>Ingresos por recuperar a corto plazo</t>
  </si>
  <si>
    <t>Deudores por anticipos de tesorería corto plazo</t>
  </si>
  <si>
    <t>Préstamos otorgados a corto plazo</t>
  </si>
  <si>
    <t>Otros derechos a recibir efectivo a corto plazo</t>
  </si>
  <si>
    <t>Ant. Prov. Adq. Bienes y servicios corto plazo</t>
  </si>
  <si>
    <t>Ant. Prov. Adq. Bienes inmuebles y muebles corto plazo</t>
  </si>
  <si>
    <t>Ant. Prov. Adq. Bienes intangibles corto plazo</t>
  </si>
  <si>
    <t>Ant. Contratistas obras públicas corto plazo</t>
  </si>
  <si>
    <t>Otros derechos a recibir bienes o servicios corto plazo</t>
  </si>
  <si>
    <t>Inventario de mercancías por venta</t>
  </si>
  <si>
    <t>Est. Ctas incobrables por derechos a recibir efectivo</t>
  </si>
  <si>
    <t>Est. Por deterioro de inventarios</t>
  </si>
  <si>
    <t>Valores en garantía</t>
  </si>
  <si>
    <t>Bienes en garantía</t>
  </si>
  <si>
    <t>Bienes derivados de embargos, decomisos</t>
  </si>
  <si>
    <t>Adquisición con fontos de terceros</t>
  </si>
  <si>
    <t>Servicios personales por pagar corto plazo</t>
  </si>
  <si>
    <t>Proveedores por pagar a corto plazo</t>
  </si>
  <si>
    <t>Contratistas obras públicas por pagar corto plazo</t>
  </si>
  <si>
    <t>Participaciones y aportaciones por pagar corto plazo</t>
  </si>
  <si>
    <t>Transferencias otorgadas por pagar a corto plazo</t>
  </si>
  <si>
    <t>Intereses, comisiones deuda pública corto plazo</t>
  </si>
  <si>
    <t>Retenciones y contribuciones por pagar corto plazo</t>
  </si>
  <si>
    <t>Documentos comerciales por pagar corto plazo</t>
  </si>
  <si>
    <t>Documentos contratistas obra por pagar corto plazo</t>
  </si>
  <si>
    <t>Otros documentos por pagar a corto plazo</t>
  </si>
  <si>
    <t>Porción a corto plazo de la deuda pública</t>
  </si>
  <si>
    <t>Porción a corto plazo de arrendamiento financiero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</si>
  <si>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</si>
  <si>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</si>
  <si>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</si>
  <si>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Admón. a Corto Plazo</t>
  </si>
  <si>
    <t>Fondos en garanía a corto plazo</t>
  </si>
  <si>
    <t>Fondos en administración de corto plazo</t>
  </si>
  <si>
    <t>Fondos contingentes a corto plazo</t>
  </si>
  <si>
    <t>Fondos fideicomisos, mandatos y contratos corto plazo</t>
  </si>
  <si>
    <t>Otros fondos de terceros en garantía corto plazo</t>
  </si>
  <si>
    <t>Valores y bienes en garantía a corto plazo</t>
  </si>
  <si>
    <t>Provisiones por demandas y juicios a corto plazo</t>
  </si>
  <si>
    <t>Provisiones para contingencias a corto plazo</t>
  </si>
  <si>
    <t>Otras provisiones a corto plazo</t>
  </si>
  <si>
    <t>Otros pasivos circulantes</t>
  </si>
  <si>
    <t>Fondos y Bienes de Terceros en Gtía y/o en Admón. Largo Plazo</t>
  </si>
  <si>
    <t>Otras cuentas por pagar corto plazo</t>
  </si>
  <si>
    <t>Otros gastos varios (Cancelación de facturas para reexpedir, gastos no deducibles)</t>
  </si>
  <si>
    <t>SERVICIOS FINANCIEROS Y BANCARIOS</t>
  </si>
  <si>
    <t>1122-11478</t>
  </si>
  <si>
    <t>1122-11905</t>
  </si>
  <si>
    <t>1122-31011</t>
  </si>
  <si>
    <t>COORDINADOR GENERAL</t>
  </si>
  <si>
    <t>1122-11270</t>
  </si>
  <si>
    <t>Mensual sin iva</t>
  </si>
  <si>
    <t>Administración Centro Comercial Chihuahua, SA de CV</t>
  </si>
  <si>
    <t>DSV AIR &amp; SEA, SA DE CV</t>
  </si>
  <si>
    <t>MegaConstr Remodelaciones y Construcciones, SA de CV</t>
  </si>
  <si>
    <t>QUMA SERVICES MEXICO, SA DE CV</t>
  </si>
  <si>
    <t>Servicios Gasolineros de México, SA de CV</t>
  </si>
  <si>
    <t>Tecnologia en Maquilados de Chihuahua, SA de CV</t>
  </si>
  <si>
    <t>1122-11472</t>
  </si>
  <si>
    <t>5590</t>
  </si>
  <si>
    <t>OTROS GASTOS</t>
  </si>
  <si>
    <t>1122-11434</t>
  </si>
  <si>
    <t>1122-11846</t>
  </si>
  <si>
    <t>1122-11885</t>
  </si>
  <si>
    <t>1122-11898</t>
  </si>
  <si>
    <t>1122-11913</t>
  </si>
  <si>
    <t>Gastos de Administración Central</t>
  </si>
  <si>
    <t>1123-10013</t>
  </si>
  <si>
    <t>1122-11797</t>
  </si>
  <si>
    <t>1122-11908</t>
  </si>
  <si>
    <t>1122-11909</t>
  </si>
  <si>
    <t>1122-11914</t>
  </si>
  <si>
    <t>1122-11915</t>
  </si>
  <si>
    <t>1122-11921</t>
  </si>
  <si>
    <t>1122-11922</t>
  </si>
  <si>
    <t>1122-11925</t>
  </si>
  <si>
    <t>2117-70020</t>
  </si>
  <si>
    <t>Saldo final en inversión al cierre de mes</t>
  </si>
  <si>
    <t>Agroindustrial Miñaca, SPR de RL de CV</t>
  </si>
  <si>
    <t>1122-11146</t>
  </si>
  <si>
    <t>1122-11918</t>
  </si>
  <si>
    <t>1122-11920</t>
  </si>
  <si>
    <t>1122-11923</t>
  </si>
  <si>
    <t>1122-11927</t>
  </si>
  <si>
    <t>1122-11928</t>
  </si>
  <si>
    <t>Petra Borbon Willis</t>
  </si>
  <si>
    <t>Accesorios y Maquinaria GAMO, SA de CV</t>
  </si>
  <si>
    <t>Avitar del Norte, SA de CV</t>
  </si>
  <si>
    <t>Servicios Administrativos OSLO, SA de CV</t>
  </si>
  <si>
    <t>Centro Llantero de Allende, SA de CV</t>
  </si>
  <si>
    <t>Dominguez Htas de México, SA de CV</t>
  </si>
  <si>
    <t>Eplogistica de México, S de RL de CV</t>
  </si>
  <si>
    <t>Farmacias de Similares,SA de CV</t>
  </si>
  <si>
    <t>Fastenal México, SRL de CV</t>
  </si>
  <si>
    <t>Fideicomiso F/2717</t>
  </si>
  <si>
    <t>Gabriela Tanner Armendariz</t>
  </si>
  <si>
    <t>Genesis Servicios y Desarrollos Inmobiliarios, SA de CV</t>
  </si>
  <si>
    <t>Hugo Armando Loya Pliego</t>
  </si>
  <si>
    <t>Meloones Bar &amp; Grill,SA de CV</t>
  </si>
  <si>
    <t>Saúl Arnulfo Ramirez Mendez</t>
  </si>
  <si>
    <t>Samuel López Aguilar</t>
  </si>
  <si>
    <t>Yessica Yasmin Salazar Montes</t>
  </si>
  <si>
    <t>XCF, SA de CV</t>
  </si>
  <si>
    <t>INDICADORES DE BALANCED SCORE CARD</t>
  </si>
  <si>
    <t>Ajustes al presupuesto</t>
  </si>
  <si>
    <t>Presupuesto ajustado</t>
  </si>
  <si>
    <t>Porcentaje de ejecución del presupuesto de infraestructura</t>
  </si>
  <si>
    <t>Presupuesto aprobado</t>
  </si>
  <si>
    <t>Presupuesto ejercido</t>
  </si>
  <si>
    <t>Resultado del ejercicio</t>
  </si>
  <si>
    <t>Activos totales</t>
  </si>
  <si>
    <t>Retorno sobre Activos - ROA</t>
  </si>
  <si>
    <t>Administrativo</t>
  </si>
  <si>
    <t>Operativo</t>
  </si>
  <si>
    <t>1122-11549</t>
  </si>
  <si>
    <t>1122-11675</t>
  </si>
  <si>
    <t>1122-21073</t>
  </si>
  <si>
    <t>GRUPO AMEX SA DE CV</t>
  </si>
  <si>
    <t>GTS SIGNS S DE RL MI</t>
  </si>
  <si>
    <t>2119-10014</t>
  </si>
  <si>
    <t>Instituto Chihuahuense de Salud</t>
  </si>
  <si>
    <t>Cuotas de servicio médico de trabajadores</t>
  </si>
  <si>
    <t>POCHTECA MATERIAS PRIMAS SA DE CV</t>
  </si>
  <si>
    <t>CONTABILIDAD</t>
  </si>
  <si>
    <t>COBRANZA</t>
  </si>
  <si>
    <t>Juárez</t>
  </si>
  <si>
    <t>Cuauhtemoc</t>
  </si>
  <si>
    <t>Paquime</t>
  </si>
  <si>
    <t>Gran Total</t>
  </si>
  <si>
    <t>Aportaciones Fondo Propio Pensiones</t>
  </si>
  <si>
    <t>Total 2018</t>
  </si>
  <si>
    <t>TRANSFERENCIAS, ASIGNACIONES, SUBSIDIOS</t>
  </si>
  <si>
    <t>Diferencial Servicio Médico Pensiones</t>
  </si>
  <si>
    <t>Pensionados</t>
  </si>
  <si>
    <t>Jubilados</t>
  </si>
  <si>
    <t>OTROS GASTOS Y PÉRDIDAS EXTRAORDINARIAS</t>
  </si>
  <si>
    <t>5513-15</t>
  </si>
  <si>
    <t>Pérdida Cambiaria</t>
  </si>
  <si>
    <t>TOTAL OTROS GASTOS Y PÉRDIDAS EXTRAORDINARIAS</t>
  </si>
  <si>
    <t>Parque Agroindustrial Naica</t>
  </si>
  <si>
    <t>ASACH</t>
  </si>
  <si>
    <t>TOTAL VENTA DE TERRENOS</t>
  </si>
  <si>
    <t>TOTAL INTERESES BANCARIOS</t>
  </si>
  <si>
    <t>Ingresos por Arrendamiento</t>
  </si>
  <si>
    <t xml:space="preserve">                              Año</t>
  </si>
  <si>
    <t xml:space="preserve">                            Año</t>
  </si>
  <si>
    <t xml:space="preserve">                                                                 Año</t>
  </si>
  <si>
    <t xml:space="preserve">                                Año</t>
  </si>
  <si>
    <t>Las empresas establecidas en los parques industriales cuentan con espacios adecuados para la industria avanzada.</t>
  </si>
  <si>
    <t>NIVEL</t>
  </si>
  <si>
    <t>RESUMEN NARRATIVO</t>
  </si>
  <si>
    <t>NOMBRE DEL INDICADOR</t>
  </si>
  <si>
    <t>DESCRIPCIÓN DE FÓRMULA</t>
  </si>
  <si>
    <t>VARIABLES</t>
  </si>
  <si>
    <t>Porcentaje del nivel de satisfacción de los usuarios de los parques industriales</t>
  </si>
  <si>
    <t>Encuestas calificadas como bueno / Total de encuestas contestadas</t>
  </si>
  <si>
    <t>Servicios a las empresas de los parques industriales prestados</t>
  </si>
  <si>
    <t>Porcentaje de ejecución del presupuesto asignado para mantenimiento y operación de parques industriales con respecto al presupuesto autorizado</t>
  </si>
  <si>
    <t>Presupuesto para servicios ejercido / Presupuesto para servicios autorizado</t>
  </si>
  <si>
    <t>Encuestas calificadas como bueno</t>
  </si>
  <si>
    <t>Resultado</t>
  </si>
  <si>
    <t>Meta</t>
  </si>
  <si>
    <t>Encuestas contestadas</t>
  </si>
  <si>
    <t>Presupuesto de servicios ejercido</t>
  </si>
  <si>
    <t>Presupuesto de servicios autorizado</t>
  </si>
  <si>
    <t>Proyectos de infraestructura en parques y reservas industriales administrados</t>
  </si>
  <si>
    <t>Porcentaje de la inversión en infraestructura desarrollada con respecto a la infraestructura programada</t>
  </si>
  <si>
    <t>Monto de inversión en infraestructura desarrollada / Monto de inversión en infraestructura programada</t>
  </si>
  <si>
    <t>Infraestructura desarrollada</t>
  </si>
  <si>
    <t>Infraestructura programada</t>
  </si>
  <si>
    <t>Operación del servicio de vigilancia de los parques industriales</t>
  </si>
  <si>
    <t>Costo de los servicios de vigilancia por hectárea de los parques industriales</t>
  </si>
  <si>
    <t>Costo mensual de los servicios de vigilancia / Número de hectáreas ocupadas</t>
  </si>
  <si>
    <t>Hectáreas ocupadas</t>
  </si>
  <si>
    <t>Costo mensual vigilancia</t>
  </si>
  <si>
    <t>ACTIVIDAD 1.2</t>
  </si>
  <si>
    <t>Operación del servicio de mantenimiento de los parques industriales</t>
  </si>
  <si>
    <t>Costo de los servicios de mantenimiento por hectárea de los parques industriales</t>
  </si>
  <si>
    <t>Costo mensual de mantenimiento de parques / Número de hectáreas ocupadas</t>
  </si>
  <si>
    <t>Costo mensual mantenimiento</t>
  </si>
  <si>
    <t>ACTIVIDAD 1.3</t>
  </si>
  <si>
    <t>Operación de pozos y líneas de agua</t>
  </si>
  <si>
    <t>Porcentaje de metros cúbicos de agua facturados contra metros cúbicos extraídos de los pozos</t>
  </si>
  <si>
    <t>Metros cúbicos de agua facturados / Metros cúbicos de agua extraídos</t>
  </si>
  <si>
    <t>Metros cúbicos facturados</t>
  </si>
  <si>
    <t>Metros cúbicos extraídos</t>
  </si>
  <si>
    <t>Ejecución de proyectos y recursos del organismo</t>
  </si>
  <si>
    <t>Porcentaje de gastos ejercidos en administración con respecto al total del presupuesto ejercido en administración y servicios de parques</t>
  </si>
  <si>
    <t xml:space="preserve"> Gastos de administración ejercidos / Gastos totales ejercidos</t>
  </si>
  <si>
    <t>Gastos totales ejercidos</t>
  </si>
  <si>
    <t>Gastos de administración ejercidos</t>
  </si>
  <si>
    <t>ACTIVIDAD 2.2</t>
  </si>
  <si>
    <t>Planeación de proyectos de infraestructura en parques y reservas industriales del organismo</t>
  </si>
  <si>
    <t>Porcentaje de proyectos de infraestructura realizados en parques y reservas industriales del organismo</t>
  </si>
  <si>
    <t>Proyectos infraestructura en parques y reservas industriales del organismo realizados / Proyectos infraestructura en parques y reservas industriales del organismo programados</t>
  </si>
  <si>
    <t>Proyectos de infraestructura programados</t>
  </si>
  <si>
    <t>Proyectos de infraestuctura   realizados</t>
  </si>
  <si>
    <t>Transferencias, Asignaciones, Subsidios</t>
  </si>
  <si>
    <t>Fecha y</t>
  </si>
  <si>
    <t>09/feb./2018</t>
  </si>
  <si>
    <t>Usr: JMARRUFO</t>
  </si>
  <si>
    <t/>
  </si>
  <si>
    <t>1000</t>
  </si>
  <si>
    <t>1100</t>
  </si>
  <si>
    <t>1110</t>
  </si>
  <si>
    <t>CAJA ADMINISTRACION</t>
  </si>
  <si>
    <t>CAJA INGENIERIA</t>
  </si>
  <si>
    <t>BANORTE CTA No. 012894777</t>
  </si>
  <si>
    <t>BANCOMER 0135020670</t>
  </si>
  <si>
    <t>BANAMEX CTA. 7514977214</t>
  </si>
  <si>
    <t>BANAMEX 4481/9000775 DLLS</t>
  </si>
  <si>
    <t>BANAMEX CTA COMPLEM (M.N.)</t>
  </si>
  <si>
    <t>INVERSIONES BANORTE</t>
  </si>
  <si>
    <t>INVERSIONES BANCOMER</t>
  </si>
  <si>
    <t>INVERSIONES BANAMEX</t>
  </si>
  <si>
    <t>1120</t>
  </si>
  <si>
    <t>FORD MOTOR CO.</t>
  </si>
  <si>
    <t>COMERCIALIZADORA Y DESARROLLADORA DEL NTE. SA DE CV</t>
  </si>
  <si>
    <t>SUPERIOR IND. DE MEXICO, S.A.</t>
  </si>
  <si>
    <t>OPERADORA FUTURAMA,S.A.DE C.V</t>
  </si>
  <si>
    <t>FLETES ASTRO, SA. DE CV.</t>
  </si>
  <si>
    <t>AUTOTRANS. TRESGUERRAS</t>
  </si>
  <si>
    <t>INMOBILIARIA MADOR SA DE CV</t>
  </si>
  <si>
    <t>GRUPO COMERCIAL DE MEXICO SA DE CV</t>
  </si>
  <si>
    <t>SERVICIOS INTEGRALES RUTA.</t>
  </si>
  <si>
    <t>PRODUCTOS CHACHITOS, S.A. C.V</t>
  </si>
  <si>
    <t>TRANS-SERVICIOS, S.A. DE C.V.</t>
  </si>
  <si>
    <t>XOMOX, S.A. DE C.V.</t>
  </si>
  <si>
    <t>SERVICIO RG SA DE CV</t>
  </si>
  <si>
    <t>FLETES SOTELO, S.A.</t>
  </si>
  <si>
    <t>EUROMOLDURAS SA DE CV</t>
  </si>
  <si>
    <t>RECUBRIMIENTOS INTERCERAMIC.</t>
  </si>
  <si>
    <t>AUTOTRANSP DEL REAL</t>
  </si>
  <si>
    <t>EXPRESS TRES FRONTERAS/ANDAZO</t>
  </si>
  <si>
    <t>PAVIMENTOS DE LA LAGUNA.</t>
  </si>
  <si>
    <t>FR TECNOLOGIA DE FLUJO SA DE</t>
  </si>
  <si>
    <t>FABRICA JABON LA CORONA, S.A.</t>
  </si>
  <si>
    <t>JOSE ARTURO AMADOR Y COPROPIE</t>
  </si>
  <si>
    <t>MANYSER, S.A. DE C.V.</t>
  </si>
  <si>
    <t>Page 1</t>
  </si>
  <si>
    <t>INGENIERIA Y DISEÑO VAN</t>
  </si>
  <si>
    <t>MANUFACTURAS ESTAMPADAS SA DE CV</t>
  </si>
  <si>
    <t>I.S.S.S.T.E.</t>
  </si>
  <si>
    <t>CONTRUCTORA ADOBE, S.A. C.V.</t>
  </si>
  <si>
    <t>IPC CHIHUAHUA SA DE CV</t>
  </si>
  <si>
    <t>TRANSPORTES THOMAS, S.A.</t>
  </si>
  <si>
    <t>AMERICAN BEEF SA DE CV</t>
  </si>
  <si>
    <t>KEYPLASTICS, S.A. DE C.V.</t>
  </si>
  <si>
    <t>V T C  WEST SA DE CV</t>
  </si>
  <si>
    <t>SERVICIO DE ADMINISTRACION TRIBUTARIA</t>
  </si>
  <si>
    <t>KEY PLASTICS DE MEX. 2 S.A.CV</t>
  </si>
  <si>
    <t>MANUF. ESTAMP/CENTRO DE MOLDES</t>
  </si>
  <si>
    <t>ASOCIACION DE MAQUILADORAS AC</t>
  </si>
  <si>
    <t>DIGITAL APPLIANCE CONTROLS</t>
  </si>
  <si>
    <t>CADISA, S.A. DE C.V.</t>
  </si>
  <si>
    <t>WINT-SON CARBIDE DE MEXICO</t>
  </si>
  <si>
    <t>FASE CHIHUAHUA S.A. DE C.V.</t>
  </si>
  <si>
    <t>CONSTRUCCIONES NIRVANA, S.A.</t>
  </si>
  <si>
    <t>PACE INDUSTRIES DE CHIH., SA.</t>
  </si>
  <si>
    <t>AMERICAN BEEF</t>
  </si>
  <si>
    <t>BACHOCO, S.A.</t>
  </si>
  <si>
    <t>ESTAFETA MEXICANA/INM.BERREND</t>
  </si>
  <si>
    <t>LUIS OROZCO ( AUTRONIC S.A. )</t>
  </si>
  <si>
    <t>VIGA Y LAMINA, SA. DE CV.</t>
  </si>
  <si>
    <t>ADITIVOS Y RECUBRIMIENTOS TECNICOS S.A.  DE C.V.</t>
  </si>
  <si>
    <t>BANCO NACIONAL DE MEXICO, S.A.</t>
  </si>
  <si>
    <t>FLETES MEXICO CHIHUAHUA</t>
  </si>
  <si>
    <t>SERVICIOS GARCIA SA DE CV</t>
  </si>
  <si>
    <t>AMERICAN BEEF S.A. DE C.V.</t>
  </si>
  <si>
    <t>FACTORIA INDUSTRIAL S.A. DE C.V.</t>
  </si>
  <si>
    <t>OPERADORA XVIII DE DIC. SA DE CV</t>
  </si>
  <si>
    <t>TRANSPORTES FORANEOS Y LOCALES</t>
  </si>
  <si>
    <t>INTERMEX MANUFACTURA DE CHIHUAHUA</t>
  </si>
  <si>
    <t>JABIL CIRCUIT DE CHIHUAHUA S DE RL DE CV</t>
  </si>
  <si>
    <t>PLASMATEC METALIZACIONES SA DE CV</t>
  </si>
  <si>
    <t>LORENZO RAFAEL PORRAS MORAN</t>
  </si>
  <si>
    <t>PROMOTORA DE RESTAURANTES DEL NTE. SA DE CV</t>
  </si>
  <si>
    <t>Page 2</t>
  </si>
  <si>
    <t>Rep: rptBalanzaComprobacion</t>
  </si>
  <si>
    <t>JOEL ARTURO PAYAN</t>
  </si>
  <si>
    <t>GPO. AMERICAN INDUSTRIES SA DE CV</t>
  </si>
  <si>
    <t>CEDENA COMERCIAL OXXO SA DE CV</t>
  </si>
  <si>
    <t>GCC CONCRETO SA DE CV</t>
  </si>
  <si>
    <t>BIO PAPPEL SA DE CV</t>
  </si>
  <si>
    <t>AGRI ESTRELLA S DE RL DE CV</t>
  </si>
  <si>
    <t>FAMSA DE PACIFICO SA DE CV</t>
  </si>
  <si>
    <t>BIENES Y RAICES LON SA DE CV</t>
  </si>
  <si>
    <t>PLAZA SAN IGNACIO S.C.</t>
  </si>
  <si>
    <t>GLOBAL PRODUCTS CO. S.A. DE C.V.</t>
  </si>
  <si>
    <t>TUBAN SA DE CV</t>
  </si>
  <si>
    <t>PACTIV DE MEXICO S DE RL DE CV</t>
  </si>
  <si>
    <t>INMOBILIARIA COMERCIAL INTERMEX SA DE CV</t>
  </si>
  <si>
    <t>ARTURO FEDERICO RICO GRANILLO</t>
  </si>
  <si>
    <t>CANPLAS MEXICO SA DE CV</t>
  </si>
  <si>
    <t>HERMES Y ASOCIADOS SA DE CV</t>
  </si>
  <si>
    <t>INST. DE APOYO AL DES. TEC.</t>
  </si>
  <si>
    <t>DURABOX DE CHIHUAHUA S.A. DE C.V.</t>
  </si>
  <si>
    <t>TRANSPORTES JULIAN DE OBREGON SA DE CV</t>
  </si>
  <si>
    <t>1122-11519</t>
  </si>
  <si>
    <t>PROVEEDORA DE SERVICIOS Y CULTURA FISICA DABS</t>
  </si>
  <si>
    <t>CARSO INFRAESTRUCTURA Y CONSTRUCCION SA DE CV</t>
  </si>
  <si>
    <t>DEMO TECNIC S. DE R.L. DE C.V.</t>
  </si>
  <si>
    <t>MARLO INDUSTRIAS SA DE CV</t>
  </si>
  <si>
    <t>TRACTOCAMIONES KENWORTH DE CHIHUAHUA SA DE CV</t>
  </si>
  <si>
    <t>TRANSPORTES SOTO E HIJOS SA DE CV</t>
  </si>
  <si>
    <t>FRUGASA SA DE CV</t>
  </si>
  <si>
    <t>AGUA Y HIELOS PURIFICADOS S.A. DE C.V.</t>
  </si>
  <si>
    <t>CHIHUAHUA MEAT VISA QUALITY S.A. DE C.V.</t>
  </si>
  <si>
    <t>BOURNS DE MEXICO S. DE R.L. DE C.V.</t>
  </si>
  <si>
    <t>INTERNACIONAL DE CERAMICA SAB DE CV</t>
  </si>
  <si>
    <t>LUTRON CNC S DE RL DE CV</t>
  </si>
  <si>
    <t>HONEYWELL AUTOMOTIVE DE MEXICO SA DE CV</t>
  </si>
  <si>
    <t>BIMBO S.A. DE C.V.</t>
  </si>
  <si>
    <t>GOB. DEL EDO. DE CHIH. (DPTO. DE ING. DE INV. PUBL</t>
  </si>
  <si>
    <t>TP NEARHORE S DE RL DE CV</t>
  </si>
  <si>
    <t>CENTURY MOLD MEXICO S DE RL DE CV</t>
  </si>
  <si>
    <t>LUIS CARLOS CHAVEZ LOYA</t>
  </si>
  <si>
    <t>AUTO FLETERA DE CHIH SA DE CV</t>
  </si>
  <si>
    <t>Page 3</t>
  </si>
  <si>
    <t>MARIA MERCED DE LA TORRE JAUREGUI</t>
  </si>
  <si>
    <t>DON MIGUEL TRANSPORTES S DE RL DE CV</t>
  </si>
  <si>
    <t>DESARROLLO DE INGENIERIA Y CONTRATACION SA DE CV</t>
  </si>
  <si>
    <t>ESTAPAK SA DE CV</t>
  </si>
  <si>
    <t>MUELLES Y SUSPENSIONES EL DRAGON SA DE CV</t>
  </si>
  <si>
    <t>AUTOMATIZACION Y TECNOLOGIA MEXICANA SA DE CV</t>
  </si>
  <si>
    <t>CONSOLIDATEC MEDICAL EQUIPMENT COMPANY S DE RL DE</t>
  </si>
  <si>
    <t>INMOBOLIARIA TOMAS VALLES VIVAR SA DE CV</t>
  </si>
  <si>
    <t>CARLISLIE PRODUCTOS DE MEXICO S DE RL DE CV</t>
  </si>
  <si>
    <t>PARQUE IND. JUAREZ SA DE CV</t>
  </si>
  <si>
    <t>BANCO DEL BAJIO SA</t>
  </si>
  <si>
    <t>JOSE DE JESUS ALONSO RODRIGUEZ</t>
  </si>
  <si>
    <t>SERVICIOS DE MANUFACTURA Y DESARROLLO SA DE CV</t>
  </si>
  <si>
    <t>CESSNA MEXICO S DE RL DE CV</t>
  </si>
  <si>
    <t>TIGHTCO LATINOAMERICA SA DE CV</t>
  </si>
  <si>
    <t>VICTAULIC DE MEXICO</t>
  </si>
  <si>
    <t>FARMACIA GUADALAJARA SA DE CV</t>
  </si>
  <si>
    <t>ANA MARGARITA SPR DE RL DE CV</t>
  </si>
  <si>
    <t>ALEJANDRO LEYVA REYES</t>
  </si>
  <si>
    <t>KARINA DENISSE MARQUEZ</t>
  </si>
  <si>
    <t>TANNER MAQUINAS Y HERRAMIENTAS SA DE CV</t>
  </si>
  <si>
    <t>TALLERES CASA MYERS SA</t>
  </si>
  <si>
    <t>DISTRIBUIDORA DE CERVEZAS MODELO EN CHIHUAHUA S.A. DE C.V.</t>
  </si>
  <si>
    <t>SERVICIO INTERNACIONAL DE LOGISTICA Y TRANSPORTE SA DE CV</t>
  </si>
  <si>
    <t>NALCO DE MEXICO S DE RL DE CV</t>
  </si>
  <si>
    <t>IMPORTACIONES LA LLAMARADA SA DE CV</t>
  </si>
  <si>
    <t>CASA LICORERA FAGON SA DE CV</t>
  </si>
  <si>
    <t>Page 4</t>
  </si>
  <si>
    <t>DISTRIBUIDOR MOBILE HIDRAULICO E INDUSTRIAL SA DE</t>
  </si>
  <si>
    <t>MGS PLASTICS CHIHUAHUA SA DE CV</t>
  </si>
  <si>
    <t>REPRESENTACIONES VERDES DE MEXICO SA DE CV</t>
  </si>
  <si>
    <t>MATERIAL CONSTRUCTOR SA DE CV</t>
  </si>
  <si>
    <t>INMUEBLES URBE SA DE CV</t>
  </si>
  <si>
    <t>PRODUCTOS DE CONSUMO Z SA DE CV</t>
  </si>
  <si>
    <t>MINPRO SA DE CV</t>
  </si>
  <si>
    <t>LORENZO EGUIARTE TALLAVAS</t>
  </si>
  <si>
    <t>SERVICIOS SWECOMEX SA DE CV</t>
  </si>
  <si>
    <t>KALISH FIERRO Y ACERO SA DE CV</t>
  </si>
  <si>
    <t>GRUPO EMPRESARIAL PODELSA SA DE CV</t>
  </si>
  <si>
    <t>1122-11791</t>
  </si>
  <si>
    <t>BEBIDAS PURIFICADAS S DE RL DE CV</t>
  </si>
  <si>
    <t>LUIS ANTONIO MONTOYA JAQUEZ</t>
  </si>
  <si>
    <t>ACCUDYN DE MEXICO S DE RL DE CV</t>
  </si>
  <si>
    <t>GALA DISEÑO EN MUEBLES SA DE CV</t>
  </si>
  <si>
    <t>INTERNATIONAL PAPER MEXICO COMPANY S DE RL DE CV</t>
  </si>
  <si>
    <t>CENTRO DE SERVICIOS METEOLOGICOS S DE RL DE CV</t>
  </si>
  <si>
    <t>CONSTRUCTORA Y PROVEEDORA FERRETODO SA DE CV</t>
  </si>
  <si>
    <t>GEN INDUSTRIAL SA DE CV</t>
  </si>
  <si>
    <t>DAVID VELASCO MARTINEZ</t>
  </si>
  <si>
    <t>IMPULSORA SAHUAYO SA DE CV</t>
  </si>
  <si>
    <t>GRUPO PASAN DE CHIHUAHUA SA DE CV</t>
  </si>
  <si>
    <t>FERBAQ FERRETERIA SA DE CV</t>
  </si>
  <si>
    <t>EMPAQUES EL PARAISO S DE RL DE MI</t>
  </si>
  <si>
    <t>INDUSTRIAS UNIDAS SA DE CV</t>
  </si>
  <si>
    <t>HISCOMEX SA DE CV</t>
  </si>
  <si>
    <t>INDICON SA DE CV</t>
  </si>
  <si>
    <t>PIK-ONE SA DE CV</t>
  </si>
  <si>
    <t>EQUIPOS OSENAL SA DE CV</t>
  </si>
  <si>
    <t>DHL EXPRESS MEXICO SA DE CV</t>
  </si>
  <si>
    <t>GRUPO COANSAMEX SA DE CV</t>
  </si>
  <si>
    <t>ALEJANDRO MEDINA MARTINEZ</t>
  </si>
  <si>
    <t>FRUVER SA DE CV</t>
  </si>
  <si>
    <t>Page 5</t>
  </si>
  <si>
    <t>PROMOTORA INDUSTRIAL GIM SA DE CV</t>
  </si>
  <si>
    <t>SUPERIOR BRIGHT TECHNOLOGIES S RL DE CV</t>
  </si>
  <si>
    <t>AB POLLO SA DE CV</t>
  </si>
  <si>
    <t>IMPRESOS Y ARTICULOS DE PUBLICIDAD SA DE CV</t>
  </si>
  <si>
    <t>TOMAS RAMON MIRANDA GRANILLO</t>
  </si>
  <si>
    <t>MOLINOS AZTECA SA DE CV</t>
  </si>
  <si>
    <t>HAWKER BEECH DE MEXICO S DE RL DE CV</t>
  </si>
  <si>
    <t>ADMINISTRACION Y CONSULTORIAS DE CHIHUAHUA SA DE C</t>
  </si>
  <si>
    <t>FLOR SARAHI CHAVEZ CHAVEZ</t>
  </si>
  <si>
    <t>GRUPO CALIBEB SA DE CV</t>
  </si>
  <si>
    <t>OPERADORA FUTURAMA SA DE CV</t>
  </si>
  <si>
    <t>DEUTSCHE BANK MEXICO SA INST DE BANCA MULTIPLE DIV</t>
  </si>
  <si>
    <t>ACEROS LEVINSON SA DE CV</t>
  </si>
  <si>
    <t>MELOONES BAR AND GRILL SA DE CV</t>
  </si>
  <si>
    <t>IPC INDUSTRIAL SA DE CV</t>
  </si>
  <si>
    <t>1122-11886</t>
  </si>
  <si>
    <t>GENESIS SERVICIOS Y DESARROLLO INMOBILIARIOS SA DE CV</t>
  </si>
  <si>
    <t>CARLOS ENRIQUE ARZATE ONTIVEROS</t>
  </si>
  <si>
    <t>DSV SOLUTIONS SA DE CV</t>
  </si>
  <si>
    <t>SAFRAN ELECTRICAL &amp; POWER CHIHUAHUA SA DE CV</t>
  </si>
  <si>
    <t>FARMACIAS DE SIMILARES SA DE CV</t>
  </si>
  <si>
    <t>TECNOLOGIA EN MAQUINADOS DE CHIH S DE RL DE MI</t>
  </si>
  <si>
    <t>ADMINISTRACION CENTRO COMERCIAL AC</t>
  </si>
  <si>
    <t>MAQUINAS DIESEL SA DE CV</t>
  </si>
  <si>
    <t>Page 6</t>
  </si>
  <si>
    <t>SERVICIOS GASOLINEROS DE MEXICO SA DE CV</t>
  </si>
  <si>
    <t>DSV AIR AND SEA SA DE CV</t>
  </si>
  <si>
    <t>QUMA SERVICES MEXICO SA DE CV</t>
  </si>
  <si>
    <t>YESSICA JAZMIN SALAZAR MONTES</t>
  </si>
  <si>
    <t>XCF SA DE CV</t>
  </si>
  <si>
    <t>FASTENAL MEXICO S DE RL DE CV</t>
  </si>
  <si>
    <t>FIDEICOMISO NUMERO F/128</t>
  </si>
  <si>
    <t>CORPORATIVO ELECTRONICO DE CHIHUAHUA SA DE CV</t>
  </si>
  <si>
    <t>AXTEL SAB DE CV</t>
  </si>
  <si>
    <t>DOMINGUEZ HTAS DE MEXICO SA DE CV</t>
  </si>
  <si>
    <t>ACCESORIOS Y MAQUINARIA GAMO SA DE CV</t>
  </si>
  <si>
    <t>AVITAR DEL NORTE SA DE CV</t>
  </si>
  <si>
    <t>SERVICIOS ADMINISTRATIVOS OSLO SA DE CV</t>
  </si>
  <si>
    <t>PETRA BORBON WILLIS</t>
  </si>
  <si>
    <t>1122-11937</t>
  </si>
  <si>
    <t>CONTINENTAL CONTITECH DE CHIHUAHUA S DE RL DE CV</t>
  </si>
  <si>
    <t>1122-11941</t>
  </si>
  <si>
    <t>AUTOZONE DE MEXICO S DE RL DE CV</t>
  </si>
  <si>
    <t>TAFI</t>
  </si>
  <si>
    <t>CENTRO DE FABRICANTES</t>
  </si>
  <si>
    <t>MAQUILADOS TECNICOS, S.A. C.V</t>
  </si>
  <si>
    <t>DAVOL SURGICAL INNOVATIONS</t>
  </si>
  <si>
    <t>SUPERMERCADOS GONZALEZ DE ALTAVISTA SA DE CV</t>
  </si>
  <si>
    <t>INST. DE APOYO AL DESARROLLO TECNOLOGICO</t>
  </si>
  <si>
    <t>PRAXAIR MEXICO S. DE R.L. DE C.V.</t>
  </si>
  <si>
    <t>ALQUILADORA DE CASAS SA DE CV</t>
  </si>
  <si>
    <t>REPANOR DE MEXICO S DE RL DE CV</t>
  </si>
  <si>
    <t>DESARROLLOS INMOBILIARIOS BERMUDEZ SA DE CV</t>
  </si>
  <si>
    <t>Page 7</t>
  </si>
  <si>
    <t>DISTRIBUIDORA DE MAQUINARIA DEL NORTE SA DE CV</t>
  </si>
  <si>
    <t>REPUESTOS DEL NOROESTE S.A.</t>
  </si>
  <si>
    <t>QUIROPRODUCTOS DE CUAUHT. S.A</t>
  </si>
  <si>
    <t>PARQUE INDUSTRIAL INT.MEX.SA.</t>
  </si>
  <si>
    <t>C.I.A.D.  A.C.</t>
  </si>
  <si>
    <t>LEONI CABLE, SA. DE C.V.</t>
  </si>
  <si>
    <t>INTERMETRO DE MEXICO S. DE R.L.</t>
  </si>
  <si>
    <t>CASTMETAL FWF DE MEXICO S DE RL DE CV</t>
  </si>
  <si>
    <t>1122-31030</t>
  </si>
  <si>
    <t>AGROINDUSTRIAL MIÑACA SPR DE RL DE CV</t>
  </si>
  <si>
    <t>KALISCH CHATARRA, S.A. DE C.V</t>
  </si>
  <si>
    <t>PARQUE INDUSTRIAL INT. MEX.SA</t>
  </si>
  <si>
    <t>KALISCH FIERRO Y ACERO SA DE CV</t>
  </si>
  <si>
    <t>SUN VIEW FOODS SA DE CV</t>
  </si>
  <si>
    <t>GAS NATURAL DE JUAREZ SA DE CV</t>
  </si>
  <si>
    <t>GTOS. MEDICOS AXA</t>
  </si>
  <si>
    <t>SRIA. DE INNOVACION Y DES. ECONOMICO</t>
  </si>
  <si>
    <t>IVA IDENTIFICADO</t>
  </si>
  <si>
    <t>IVA NO IDENTIFICADO</t>
  </si>
  <si>
    <t>IVA PEND DE ACREDITAR</t>
  </si>
  <si>
    <t>IVA NO IDENT PEND ACREDITAR</t>
  </si>
  <si>
    <t>1125</t>
  </si>
  <si>
    <t>DEUDORES POR ANTICIPOS DE LA TESORERÍA A CORTO PLAZO</t>
  </si>
  <si>
    <t>1130</t>
  </si>
  <si>
    <t>ANTICIPO A PROVEEDORES POR ADQUISICIÓN DE BIENES Y PRESTACIÓN DE SERVICIOS A CORTO PLAZO</t>
  </si>
  <si>
    <t>ANTICIPO A PROVEEDORES POR ADQUISICIÓN DE BIENES INTANGIBLES A CORTO PLAZO</t>
  </si>
  <si>
    <t>SEGUROS Y FIANZAS</t>
  </si>
  <si>
    <t>CUOTAS Y SUSCRIPCIONES</t>
  </si>
  <si>
    <t>Page 8</t>
  </si>
  <si>
    <t>1190</t>
  </si>
  <si>
    <t>CFE</t>
  </si>
  <si>
    <t>1200</t>
  </si>
  <si>
    <t>1210</t>
  </si>
  <si>
    <t>CASINO CHIHUAHUA</t>
  </si>
  <si>
    <t>CIMAV S.C.</t>
  </si>
  <si>
    <t>1230</t>
  </si>
  <si>
    <t>TERRENOS CHIHUAHUA</t>
  </si>
  <si>
    <t>TERRENOS JUAREZ</t>
  </si>
  <si>
    <t>TERRENOS CUAUHTEMOC</t>
  </si>
  <si>
    <t>TERRENOS PARRAL</t>
  </si>
  <si>
    <t>TERRENOS CASAS GRANDES</t>
  </si>
  <si>
    <t>TERRENOS ANAHUAC</t>
  </si>
  <si>
    <t>TERRENOS CRUCES FRONTERIZOS</t>
  </si>
  <si>
    <t>TERRENOS DELICIAS</t>
  </si>
  <si>
    <t>TERRENOS ALDAMA</t>
  </si>
  <si>
    <t>TERRENOS CAMARGO</t>
  </si>
  <si>
    <t>TERRENOS ROSALES</t>
  </si>
  <si>
    <t>1233-5831</t>
  </si>
  <si>
    <t>DEP. EDIFICIOS NO HABITACIONALES</t>
  </si>
  <si>
    <t>1240</t>
  </si>
  <si>
    <t>MUEBLES DE OFICINA Y ESRANTERIA</t>
  </si>
  <si>
    <t>EQ. COMPUTO</t>
  </si>
  <si>
    <t>AUTOMOVILES Y CAMIONES</t>
  </si>
  <si>
    <t>Page 9</t>
  </si>
  <si>
    <t>MAQ. Y EQ. INDUSTRIAL</t>
  </si>
  <si>
    <t>1252</t>
  </si>
  <si>
    <t>PATENTES, MARCAS Y DERECHOS</t>
  </si>
  <si>
    <t>1252-59401</t>
  </si>
  <si>
    <t>DERECHOS</t>
  </si>
  <si>
    <t>1254</t>
  </si>
  <si>
    <t>LICENCIAS</t>
  </si>
  <si>
    <t>1254-59701</t>
  </si>
  <si>
    <t>1260</t>
  </si>
  <si>
    <t>DEP. EDIFICIOS NO RESIDENCIALES</t>
  </si>
  <si>
    <t>DEP. MUEBLES DE OF. Y ESTANTERIA</t>
  </si>
  <si>
    <t>DEP. EQ. COMPUTO Y DE TEC. DE LA INFORMACION</t>
  </si>
  <si>
    <t>DEP. AUTOMOVILES Y CAMIONES</t>
  </si>
  <si>
    <t>DEP. MAQ Y EQ INDUSTRIAL</t>
  </si>
  <si>
    <t>2000</t>
  </si>
  <si>
    <t>2100</t>
  </si>
  <si>
    <t>PASIVO CIRCULANTE</t>
  </si>
  <si>
    <t>2110</t>
  </si>
  <si>
    <t>CUENTAS POR PAGAR A CORTO PLAZO</t>
  </si>
  <si>
    <t>Remuneración por pagar al Personal de carácter permanente a CP</t>
  </si>
  <si>
    <t>2111-1-11301</t>
  </si>
  <si>
    <t>SUELDO BASE A PERSONAL PERMANENTE</t>
  </si>
  <si>
    <t>Remuneraciones Adicionales y Especiales por Pagar a CP</t>
  </si>
  <si>
    <t>2111-3-13301</t>
  </si>
  <si>
    <t>2111-4-14301</t>
  </si>
  <si>
    <t>APORTACIONES FONDO PROPIO PENSIONES</t>
  </si>
  <si>
    <t>2111-4-14401</t>
  </si>
  <si>
    <t>CUOTAS PARA SEGURO DE VIDA</t>
  </si>
  <si>
    <t>Otras prestaciones sociales y económicas por pagar a CP</t>
  </si>
  <si>
    <t>2111-5-15101</t>
  </si>
  <si>
    <t>CUOTAS PARA FONDO DE AHORRO</t>
  </si>
  <si>
    <t>2111-5-15407</t>
  </si>
  <si>
    <t>Deudas por Adquisición de Bienes y Contratación de Servicios por Pagar a CP</t>
  </si>
  <si>
    <t>CFE SUMINISTRADOR DE SERVICIOS BASICOS</t>
  </si>
  <si>
    <t>Page 10</t>
  </si>
  <si>
    <t>2112-1-31101</t>
  </si>
  <si>
    <t>ENERGÍA ELÉCTRICA</t>
  </si>
  <si>
    <t>2112-1-33301</t>
  </si>
  <si>
    <t>SERV. CONSULTORIA Y ADMVA, PROCESOS</t>
  </si>
  <si>
    <t>2112-1-33401</t>
  </si>
  <si>
    <t>SERVICIOS DE CAPACITACIÓN</t>
  </si>
  <si>
    <t>2112-1-34101</t>
  </si>
  <si>
    <t>2112-1-34501</t>
  </si>
  <si>
    <t>SEGUROS DE BIENES PATRIMONIALES</t>
  </si>
  <si>
    <t>2112-1-35101</t>
  </si>
  <si>
    <t>CONSERVACIÓN  Y MTTO. MENOR DE INMUEBLES</t>
  </si>
  <si>
    <t>2112-1-37501</t>
  </si>
  <si>
    <t>VIÁTICOS EN EL PAÍS</t>
  </si>
  <si>
    <t>2112-1-39201</t>
  </si>
  <si>
    <t>IMPUESTOS Y DERECHOS</t>
  </si>
  <si>
    <t>2115</t>
  </si>
  <si>
    <t>TRANSFERENCIAS OTORGADAS POR PAGAR A CORTO PLAZO</t>
  </si>
  <si>
    <t>2115-41503</t>
  </si>
  <si>
    <t>DIFERENCIAL SERVICIO MEDICO PENSIONES</t>
  </si>
  <si>
    <t>2115-45101</t>
  </si>
  <si>
    <t>PENSIONADOS</t>
  </si>
  <si>
    <t>RETENCIONES Y CONTRIBUCIONES POR PAGAR A CORTO PLAZO</t>
  </si>
  <si>
    <t>ISPT</t>
  </si>
  <si>
    <t>PENSIONES CIVILES DEL EDO.</t>
  </si>
  <si>
    <t>I.V.A.</t>
  </si>
  <si>
    <t>IVA PEND DE PAGAR</t>
  </si>
  <si>
    <t>2119-10003</t>
  </si>
  <si>
    <t>FONDO DE AHORRO</t>
  </si>
  <si>
    <t>ICHISAL SERVICIO MEDICO</t>
  </si>
  <si>
    <t>RET. SEG. EMPLEADOS</t>
  </si>
  <si>
    <t>TESORERIA DE LA FEDERACION</t>
  </si>
  <si>
    <t>Page 11</t>
  </si>
  <si>
    <t>3000</t>
  </si>
  <si>
    <t>3100</t>
  </si>
  <si>
    <t>HACIENDA PÚBLICA/PATRIMONIO CONTRIBUIDO</t>
  </si>
  <si>
    <t>ACT. HACIENDA PUBLICA</t>
  </si>
  <si>
    <t>3200</t>
  </si>
  <si>
    <t>HACIENDA PÚBLICA /PATRIMONIO GENERADO</t>
  </si>
  <si>
    <t>ACT. REAS 1997</t>
  </si>
  <si>
    <t>REAS 1998</t>
  </si>
  <si>
    <t>REAS 1999</t>
  </si>
  <si>
    <t>REAS 2000</t>
  </si>
  <si>
    <t>REAS 2001</t>
  </si>
  <si>
    <t>REAS 2002</t>
  </si>
  <si>
    <t>REAS 2003</t>
  </si>
  <si>
    <t>REAS 2004</t>
  </si>
  <si>
    <t>REAS 2005</t>
  </si>
  <si>
    <t>REAS 2006</t>
  </si>
  <si>
    <t>REAS 2007</t>
  </si>
  <si>
    <t>REAS 2008</t>
  </si>
  <si>
    <t>REAS 2009</t>
  </si>
  <si>
    <t>REAS 2010</t>
  </si>
  <si>
    <t>REAS 2011</t>
  </si>
  <si>
    <t>RESULTADO EJERCICIO 2012</t>
  </si>
  <si>
    <t>RESULTADO EJERCICIO 2013</t>
  </si>
  <si>
    <t>RESULTADO EJERCICIO 2014</t>
  </si>
  <si>
    <t>RESULTADO EJERCICIO 2015</t>
  </si>
  <si>
    <t>3220-02016</t>
  </si>
  <si>
    <t>RESULTADO EJERCICIO 2016</t>
  </si>
  <si>
    <t>3220-02017</t>
  </si>
  <si>
    <t>RESULTADO EJERCICIO 2017</t>
  </si>
  <si>
    <t>3300</t>
  </si>
  <si>
    <t>EXCESO O INSUFICIENCIA EN LA ACTUALIZACIÓN DE LA HACIENDA PÚBLICA/ PATRIMONIO</t>
  </si>
  <si>
    <t>RESULTADO POR POSICION MONETARIA</t>
  </si>
  <si>
    <t>4000</t>
  </si>
  <si>
    <t>4100</t>
  </si>
  <si>
    <t>INGRESOS DE GESTIÓN</t>
  </si>
  <si>
    <t>4170</t>
  </si>
  <si>
    <t>4173-2</t>
  </si>
  <si>
    <t>4173-2-10001</t>
  </si>
  <si>
    <t>SERVICIO DE VIGILANCIA CHIHUAHUA</t>
  </si>
  <si>
    <t>Page 12</t>
  </si>
  <si>
    <t>POR AGUA CHIHUAHUA</t>
  </si>
  <si>
    <t>MTTO. Y OP. AREAS VERDES CHIHUAHUA</t>
  </si>
  <si>
    <t>VARIOS CHIHUAHUA</t>
  </si>
  <si>
    <t>POR AGUA JUAREZ</t>
  </si>
  <si>
    <t>MTTO. Y OP. AREAS VERDES JUAREZ</t>
  </si>
  <si>
    <t>SERVICIO DE VIGILANCIA CUAUHTEMOC</t>
  </si>
  <si>
    <t>POR AGUA CUAUHTEMOC</t>
  </si>
  <si>
    <t>MTTO. Y OP. AREAS VERDES CUAUHTEMOC</t>
  </si>
  <si>
    <t>POR AGUA PAQUIME</t>
  </si>
  <si>
    <t>MTTO. Y OP. AREAS VERDES PAQUIME</t>
  </si>
  <si>
    <t>MTTO. Y AREAS VERDES PARQUE SUR</t>
  </si>
  <si>
    <t>4300</t>
  </si>
  <si>
    <t>OTROS INGRESOS Y BENEFICIOS</t>
  </si>
  <si>
    <t>4310</t>
  </si>
  <si>
    <t>INGRESOS FINANCIEROS</t>
  </si>
  <si>
    <t>RENDIMIENTOS POR INVERSIONES</t>
  </si>
  <si>
    <t>RENDIMIENTOS BANCARIOS</t>
  </si>
  <si>
    <t>4390</t>
  </si>
  <si>
    <t>OTROS ING VARIOS</t>
  </si>
  <si>
    <t>5000</t>
  </si>
  <si>
    <t>5100</t>
  </si>
  <si>
    <t>5110</t>
  </si>
  <si>
    <t>5111-11301</t>
  </si>
  <si>
    <t>5113-13301</t>
  </si>
  <si>
    <t>5114-14301</t>
  </si>
  <si>
    <t>5114-14401</t>
  </si>
  <si>
    <t>5115-15101</t>
  </si>
  <si>
    <t>5115-15407</t>
  </si>
  <si>
    <t>5120</t>
  </si>
  <si>
    <t>MATERIALES DE ADMINISTRACIÓN, EMISIÓN DE DOCUMENTOS Y ARTÍCULOS OFICIALES</t>
  </si>
  <si>
    <t>5126-26101</t>
  </si>
  <si>
    <t>5130</t>
  </si>
  <si>
    <t>Page 13</t>
  </si>
  <si>
    <t>5131-31101</t>
  </si>
  <si>
    <t>5131-31301</t>
  </si>
  <si>
    <t>SERVICIOS PROFESIONALES, CIENTÍFICOS Y TÉCNICOS Y OTROS SERVICIOS</t>
  </si>
  <si>
    <t>5133-33301</t>
  </si>
  <si>
    <t>5133-33401</t>
  </si>
  <si>
    <t>5133-33901</t>
  </si>
  <si>
    <t>SERVICIOS PROFESIONALES, CIENT. Y TECNICOS</t>
  </si>
  <si>
    <t>5134-34101</t>
  </si>
  <si>
    <t>5134-34501</t>
  </si>
  <si>
    <t>SERVICIOS DE INSTALACIÓN, REPARACIÓN, MANTENIMIENTO Y CONSERVACIÓN</t>
  </si>
  <si>
    <t>5135-35101</t>
  </si>
  <si>
    <t>5135-35801</t>
  </si>
  <si>
    <t>SERVICIOS DE LIMPIEZA Y MANEJO DE DESECHOS</t>
  </si>
  <si>
    <t>5137-37501</t>
  </si>
  <si>
    <t>5139-39201</t>
  </si>
  <si>
    <t>5200</t>
  </si>
  <si>
    <t>TRANSFERENCIAS, ASIGNACIONES, SUBSIDIOS Y OTRAS AYUDAS</t>
  </si>
  <si>
    <t>5210</t>
  </si>
  <si>
    <t>TRANSFERENCIAS INTERNAS Y ASIGNACIONES AL SECTOR PÚBLICO</t>
  </si>
  <si>
    <t>5212</t>
  </si>
  <si>
    <t>TRANSFERENCIAS INTERNAS AL SECTOR PÚBLICO</t>
  </si>
  <si>
    <t>5212-41503</t>
  </si>
  <si>
    <t>5250</t>
  </si>
  <si>
    <t>PENSIONES Y JUBILACIONES</t>
  </si>
  <si>
    <t>5251</t>
  </si>
  <si>
    <t>PENSIONES</t>
  </si>
  <si>
    <t>5251-45101</t>
  </si>
  <si>
    <t>5500</t>
  </si>
  <si>
    <t>5510</t>
  </si>
  <si>
    <t>ESTIMACIONES, DEPRECIACIONES, DETERIOROS, OBSOLESCENCIA Y AMORTIZACIONES</t>
  </si>
  <si>
    <t>DEP. MUEBLES DE OFICINA</t>
  </si>
  <si>
    <t>DEP. MAQ. Y EQ. INDUSTRIAL</t>
  </si>
  <si>
    <t>Page 14</t>
  </si>
  <si>
    <t>OTROS GASTOS NO DEDUCIBLES</t>
  </si>
  <si>
    <t>OTROS GASTOS DIVERSOS</t>
  </si>
  <si>
    <t>8000</t>
  </si>
  <si>
    <t>8100</t>
  </si>
  <si>
    <t>SERVICIO DE VIGILANCIA PARQUE SUR</t>
  </si>
  <si>
    <t>Page 15</t>
  </si>
  <si>
    <t>8200</t>
  </si>
  <si>
    <t>8210-14898-0101-01-11301-1</t>
  </si>
  <si>
    <t>SUELDO BASE A PERSONAL PERMANENTE G. Corriente</t>
  </si>
  <si>
    <t>Page 16</t>
  </si>
  <si>
    <t>8210-14898-0101-01-13201-1</t>
  </si>
  <si>
    <t>GRATIFICACION ANUAL G. Corriente</t>
  </si>
  <si>
    <t>8210-14898-0101-01-13202-1</t>
  </si>
  <si>
    <t>PRIMA VACACIONAL G. Corriente</t>
  </si>
  <si>
    <t>8210-14898-0101-01-14102-1</t>
  </si>
  <si>
    <t>APORTACIONES AL ICHISAL G. Corriente</t>
  </si>
  <si>
    <t>8210-14898-0101-01-14301-1</t>
  </si>
  <si>
    <t>APORTACIONES FONDO PROPIO PENSIONES G. Corriente</t>
  </si>
  <si>
    <t>8210-14898-0101-01-14401-1</t>
  </si>
  <si>
    <t>CUOTAS PARA SEGURO DE VIDA G. Corriente</t>
  </si>
  <si>
    <t>8210-14898-0101-01-15101-1</t>
  </si>
  <si>
    <t>CUOTAS PARA FONDO DE AHORRO G. Corriente</t>
  </si>
  <si>
    <t>8210-14898-0101-01-15407-1</t>
  </si>
  <si>
    <t>DESPENSA G. Corriente</t>
  </si>
  <si>
    <t>8210-14898-0101-02-33801-1</t>
  </si>
  <si>
    <t>SERVICIOS DE VIGILANCIA G. Corriente</t>
  </si>
  <si>
    <t>8210-14898-0101-04-33801-1</t>
  </si>
  <si>
    <t>8210-14898-0101-07-33801-1</t>
  </si>
  <si>
    <t>8210-14898-0102-01-11301-1</t>
  </si>
  <si>
    <t>8210-14898-0102-01-13201-1</t>
  </si>
  <si>
    <t>8210-14898-0102-01-13202-1</t>
  </si>
  <si>
    <t>8210-14898-0102-01-14102-1</t>
  </si>
  <si>
    <t>8210-14898-0102-01-14301-1</t>
  </si>
  <si>
    <t>8210-14898-0102-01-14401-1</t>
  </si>
  <si>
    <t>8210-14898-0102-01-15101-1</t>
  </si>
  <si>
    <t>8210-14898-0102-01-15407-1</t>
  </si>
  <si>
    <t>8210-14898-0102-02-26101-1</t>
  </si>
  <si>
    <t>COMBUSTIBLES G. Corriente</t>
  </si>
  <si>
    <t>8210-14898-0102-02-31101-1</t>
  </si>
  <si>
    <t>ENERGÍA ELÉCTRICA G. Corriente</t>
  </si>
  <si>
    <t>SERVICIOS PROFESIONALES, CIENT. Y TECNICOS G. Corriente</t>
  </si>
  <si>
    <t>8210-14898-0102-02-34501-1</t>
  </si>
  <si>
    <t>SEGUROS DE BIENES PATRIMONIALES G. Corriente</t>
  </si>
  <si>
    <t>8210-14898-0102-02-35101-1</t>
  </si>
  <si>
    <t>CONSERVACIÓN  Y MTTO. MENOR DE INMUEBLES G. Corriente</t>
  </si>
  <si>
    <t>8210-14898-0102-03-31101-1</t>
  </si>
  <si>
    <t>8210-14898-0102-03-35101-1</t>
  </si>
  <si>
    <t>8210-14898-0102-04-31101-1</t>
  </si>
  <si>
    <t>8210-14898-0102-04-35101-1</t>
  </si>
  <si>
    <t>8210-14898-0102-05-35101-1</t>
  </si>
  <si>
    <t>8210-14898-0102-06-31101-1</t>
  </si>
  <si>
    <t>8210-14898-0102-06-35101-1</t>
  </si>
  <si>
    <t>8210-14898-0102-07-31101-1</t>
  </si>
  <si>
    <t>8210-14898-0102-07-35101-1</t>
  </si>
  <si>
    <t>8210-14898-0103-01-11301-1</t>
  </si>
  <si>
    <t>8210-14898-0103-01-13201-1</t>
  </si>
  <si>
    <t>8210-14898-0103-01-13202-1</t>
  </si>
  <si>
    <t>8210-14898-0103-01-14102-1</t>
  </si>
  <si>
    <t>8210-14898-0103-01-14301-1</t>
  </si>
  <si>
    <t>8210-14898-0103-01-14401-1</t>
  </si>
  <si>
    <t>Page 17</t>
  </si>
  <si>
    <t>8210-14898-0103-01-15101-1</t>
  </si>
  <si>
    <t>8210-14898-0103-01-15407-1</t>
  </si>
  <si>
    <t>8210-14898-0103-02-31301-1</t>
  </si>
  <si>
    <t>AGUA G. Corriente</t>
  </si>
  <si>
    <t>8210-14898-0103-02-35701-1</t>
  </si>
  <si>
    <t>INST. REP. Y MTTO. DE MAQUINARIA G. Corriente</t>
  </si>
  <si>
    <t>8210-14898-0103-03-31301-1</t>
  </si>
  <si>
    <t>8210-14898-0103-03-35701-1</t>
  </si>
  <si>
    <t>8210-14898-0103-04-31301-1</t>
  </si>
  <si>
    <t>8210-14898-0103-04-35701-1</t>
  </si>
  <si>
    <t>8210-14898-0103-06-31301-1</t>
  </si>
  <si>
    <t>8210-14898-0103-06-35701-1</t>
  </si>
  <si>
    <t>8210-14898-0201-01-11301-1</t>
  </si>
  <si>
    <t>8210-14898-0201-01-13201-1</t>
  </si>
  <si>
    <t>8210-14898-0201-01-13202-1</t>
  </si>
  <si>
    <t>HORAS EXTRAS G. Corriente</t>
  </si>
  <si>
    <t>8210-14898-0201-01-14102-1</t>
  </si>
  <si>
    <t>8210-14898-0201-01-14301-1</t>
  </si>
  <si>
    <t>8210-14898-0201-01-14401-1</t>
  </si>
  <si>
    <t>8210-14898-0201-01-15101-1</t>
  </si>
  <si>
    <t>8210-14898-0201-01-15407-1</t>
  </si>
  <si>
    <t>8210-14898-0201-01-21101-1</t>
  </si>
  <si>
    <t>MATERIALES, UTILES Y EQ. MENORES OFICINA G. Corriente</t>
  </si>
  <si>
    <t>8210-14898-0201-01-21201-1</t>
  </si>
  <si>
    <t>MATERIALES Y UTILES DE  IMPRESIÓN G. Corriente</t>
  </si>
  <si>
    <t>8210-14898-0201-01-21601-1</t>
  </si>
  <si>
    <t>MATERIAL DE LIMPIEZA G. Corriente</t>
  </si>
  <si>
    <t>8210-14898-0201-01-22101-1</t>
  </si>
  <si>
    <t>PRODUCTOS ALIMENTICIOS PARA PERSONAS G. Corriente</t>
  </si>
  <si>
    <t>8210-14898-0201-01-25301-1</t>
  </si>
  <si>
    <t>MEDICINAS Y PRODUCTOS FARMACÉUTICOS G. Corriente</t>
  </si>
  <si>
    <t>8210-14898-0201-01-26101-1</t>
  </si>
  <si>
    <t>8210-14898-0201-01-31101-1</t>
  </si>
  <si>
    <t>8210-14898-0201-01-31201-1</t>
  </si>
  <si>
    <t>GAS G. Corriente</t>
  </si>
  <si>
    <t>8210-14898-0201-01-31401-1</t>
  </si>
  <si>
    <t>TELEFONÍA TRADICIONAL G. Corriente</t>
  </si>
  <si>
    <t>8210-14898-0201-01-31801-1</t>
  </si>
  <si>
    <t>SERVICIOS POSTALES Y TELEGRAFICOS G. Corriente</t>
  </si>
  <si>
    <t>8210-14898-0201-01-31901-1</t>
  </si>
  <si>
    <t>SERVICIOS INTEGRALES Y OTROS SERVICIOS G. Corriente</t>
  </si>
  <si>
    <t>8210-14898-0201-01-32901-1</t>
  </si>
  <si>
    <t>OTROS ARRENDAMIENTOS G. Corriente</t>
  </si>
  <si>
    <t>8210-14898-0201-01-33101-1</t>
  </si>
  <si>
    <t>SERVICIOS LEGALES CONTAB. Y AUDITORIA G. Corriente</t>
  </si>
  <si>
    <t>8210-14898-0201-01-33301-1</t>
  </si>
  <si>
    <t>SERV. CONSULTORIA Y ADMVA, PROCESOS G. Corriente</t>
  </si>
  <si>
    <t>8210-14898-0201-01-33401-1</t>
  </si>
  <si>
    <t>SERVICIOS DE CAPACITACIÓN G. Corriente</t>
  </si>
  <si>
    <t>8210-14898-0201-01-34101-1</t>
  </si>
  <si>
    <t>SERVICIOS FINANCIEROS Y BANCARIOS G. Corriente</t>
  </si>
  <si>
    <t>8210-14898-0201-01-34501-1</t>
  </si>
  <si>
    <t>8210-14898-0201-01-34901-1</t>
  </si>
  <si>
    <t>SERVICIOS FIN. BANC Y COMERCIALES G. Corriente</t>
  </si>
  <si>
    <t>8210-14898-0201-01-35101-1</t>
  </si>
  <si>
    <t>8210-14898-0201-01-35201-1</t>
  </si>
  <si>
    <t>INST. REP. Y MTTO. DE MOBILIARIO G. Corriente</t>
  </si>
  <si>
    <t>8210-14898-0201-01-35501-1</t>
  </si>
  <si>
    <t>REPARACIÓN Y MTTO EQUIPO DE TRANSPORTE G. Corriente</t>
  </si>
  <si>
    <t>8210-14898-0201-01-35801-1</t>
  </si>
  <si>
    <t>SERVICIOS DE LIMPIEZA Y MANEJO DE DESECHOS G. Corriente</t>
  </si>
  <si>
    <t>8210-14898-0201-01-39201-1</t>
  </si>
  <si>
    <t>IMPUESTOS Y DERECHOS G. Corriente</t>
  </si>
  <si>
    <t>8210-14898-0201-01-39801-1</t>
  </si>
  <si>
    <t>IMPUESTO SOBRE NÓMINAS G. Corriente</t>
  </si>
  <si>
    <t>Page 18</t>
  </si>
  <si>
    <t>8210-14898-0201-01-39901-1</t>
  </si>
  <si>
    <t>OTROS SERVICIOS GENERALES G. Corriente</t>
  </si>
  <si>
    <t>8210-14898-0201-01-41503-1</t>
  </si>
  <si>
    <t>DIFERENCIAL SERVICIO MEDICO PENSIONES G. Corriente</t>
  </si>
  <si>
    <t>8210-14898-0201-01-45101-4</t>
  </si>
  <si>
    <t>PENSIONADOS Pensiones y Jubilaciones</t>
  </si>
  <si>
    <t>8210-14898-0201-01-45201-4</t>
  </si>
  <si>
    <t>JUBILADOS Pensiones y Jubilaciones</t>
  </si>
  <si>
    <t>8210-14898-0202-01-11301-1</t>
  </si>
  <si>
    <t>8210-14898-0202-01-13201-1</t>
  </si>
  <si>
    <t>8210-14898-0202-01-13202-1</t>
  </si>
  <si>
    <t>8210-14898-0202-01-14102-1</t>
  </si>
  <si>
    <t>8210-14898-0202-01-14301-1</t>
  </si>
  <si>
    <t>8210-14898-0202-01-14401-1</t>
  </si>
  <si>
    <t>8210-14898-0202-01-15101-1</t>
  </si>
  <si>
    <t>8210-14898-0202-01-15407-1</t>
  </si>
  <si>
    <t>8210-14898-0202-01-33901-1</t>
  </si>
  <si>
    <t>8210-14898-0202-01-37501-1</t>
  </si>
  <si>
    <t>VIÁTICOS EN EL PAÍS G. Corriente</t>
  </si>
  <si>
    <t>8210-14898-0202-01-37601-1</t>
  </si>
  <si>
    <t>VIÁTICOS EN EL EXTRANJERO G. Corriente</t>
  </si>
  <si>
    <t>8210-14898-0202-01-38301-1</t>
  </si>
  <si>
    <t>CONGRESOS Y CONVENCIONES G. Corriente</t>
  </si>
  <si>
    <t>8210-14898-0202-01-38501-1</t>
  </si>
  <si>
    <t>REUNIONES OFICIALES G. Corriente</t>
  </si>
  <si>
    <t>8220-14898-0101-01-11301-1</t>
  </si>
  <si>
    <t>8220-14898-0101-01-13201-1</t>
  </si>
  <si>
    <t>8220-14898-0101-01-13202-1</t>
  </si>
  <si>
    <t>8220-14898-0101-01-14102-1</t>
  </si>
  <si>
    <t>8220-14898-0101-01-14301-1</t>
  </si>
  <si>
    <t>8220-14898-0101-01-14401-1</t>
  </si>
  <si>
    <t>8220-14898-0101-01-15101-1</t>
  </si>
  <si>
    <t>8220-14898-0101-01-15407-1</t>
  </si>
  <si>
    <t>8220-14898-0101-02-33801-1</t>
  </si>
  <si>
    <t>8220-14898-0101-04-33801-1</t>
  </si>
  <si>
    <t>8220-14898-0101-07-33801-1</t>
  </si>
  <si>
    <t>8220-14898-0102-01-11301-1</t>
  </si>
  <si>
    <t>8220-14898-0102-01-13201-1</t>
  </si>
  <si>
    <t>8220-14898-0102-01-13202-1</t>
  </si>
  <si>
    <t>8220-14898-0102-01-14102-1</t>
  </si>
  <si>
    <t>8220-14898-0102-01-14301-1</t>
  </si>
  <si>
    <t>8220-14898-0102-01-14401-1</t>
  </si>
  <si>
    <t>8220-14898-0102-01-15101-1</t>
  </si>
  <si>
    <t>8220-14898-0102-01-15407-1</t>
  </si>
  <si>
    <t>8220-14898-0102-02-26101-1</t>
  </si>
  <si>
    <t>8220-14898-0102-02-31101-1</t>
  </si>
  <si>
    <t>8220-14898-0102-02-34501-1</t>
  </si>
  <si>
    <t>8220-14898-0102-02-35101-1</t>
  </si>
  <si>
    <t>8220-14898-0102-03-31101-1</t>
  </si>
  <si>
    <t>Page 19</t>
  </si>
  <si>
    <t>8220-14898-0102-03-35101-1</t>
  </si>
  <si>
    <t>8220-14898-0102-04-31101-1</t>
  </si>
  <si>
    <t>8220-14898-0102-04-35101-1</t>
  </si>
  <si>
    <t>8220-14898-0102-05-35101-1</t>
  </si>
  <si>
    <t>8220-14898-0102-06-31101-1</t>
  </si>
  <si>
    <t>8220-14898-0102-06-35101-1</t>
  </si>
  <si>
    <t>8220-14898-0102-07-31101-1</t>
  </si>
  <si>
    <t>8220-14898-0102-07-35101-1</t>
  </si>
  <si>
    <t>8220-14898-0103-01-11301-1</t>
  </si>
  <si>
    <t>8220-14898-0103-01-13201-1</t>
  </si>
  <si>
    <t>8220-14898-0103-01-13202-1</t>
  </si>
  <si>
    <t>8220-14898-0103-01-14102-1</t>
  </si>
  <si>
    <t>8220-14898-0103-01-14301-1</t>
  </si>
  <si>
    <t>8220-14898-0103-01-14401-1</t>
  </si>
  <si>
    <t>8220-14898-0103-01-15101-1</t>
  </si>
  <si>
    <t>8220-14898-0103-01-15407-1</t>
  </si>
  <si>
    <t>8220-14898-0103-02-31301-1</t>
  </si>
  <si>
    <t>8220-14898-0103-02-35701-1</t>
  </si>
  <si>
    <t>8220-14898-0103-03-31301-1</t>
  </si>
  <si>
    <t>8220-14898-0103-03-35701-1</t>
  </si>
  <si>
    <t>8220-14898-0103-04-31301-1</t>
  </si>
  <si>
    <t>8220-14898-0103-04-35701-1</t>
  </si>
  <si>
    <t>8220-14898-0103-06-31301-1</t>
  </si>
  <si>
    <t>8220-14898-0103-06-35701-1</t>
  </si>
  <si>
    <t>8220-14898-0201-01-11301-1</t>
  </si>
  <si>
    <t>8220-14898-0201-01-13201-1</t>
  </si>
  <si>
    <t>8220-14898-0201-01-13202-1</t>
  </si>
  <si>
    <t>8220-14898-0201-01-14102-1</t>
  </si>
  <si>
    <t>8220-14898-0201-01-14301-1</t>
  </si>
  <si>
    <t>8220-14898-0201-01-14401-1</t>
  </si>
  <si>
    <t>8220-14898-0201-01-15101-1</t>
  </si>
  <si>
    <t>8220-14898-0201-01-15407-1</t>
  </si>
  <si>
    <t>8220-14898-0201-01-21101-1</t>
  </si>
  <si>
    <t>8220-14898-0201-01-21201-1</t>
  </si>
  <si>
    <t>8220-14898-0201-01-21601-1</t>
  </si>
  <si>
    <t>8220-14898-0201-01-22101-1</t>
  </si>
  <si>
    <t>8220-14898-0201-01-25301-1</t>
  </si>
  <si>
    <t>8220-14898-0201-01-26101-1</t>
  </si>
  <si>
    <t>Page 20</t>
  </si>
  <si>
    <t>8220-14898-0201-01-31101-1</t>
  </si>
  <si>
    <t>8220-14898-0201-01-31201-1</t>
  </si>
  <si>
    <t>8220-14898-0201-01-31401-1</t>
  </si>
  <si>
    <t>8220-14898-0201-01-31801-1</t>
  </si>
  <si>
    <t>8220-14898-0201-01-31901-1</t>
  </si>
  <si>
    <t>8220-14898-0201-01-32901-1</t>
  </si>
  <si>
    <t>8220-14898-0201-01-33101-1</t>
  </si>
  <si>
    <t>8220-14898-0201-01-33301-1</t>
  </si>
  <si>
    <t>8220-14898-0201-01-33401-1</t>
  </si>
  <si>
    <t>8220-14898-0201-01-34101-1</t>
  </si>
  <si>
    <t>8220-14898-0201-01-34501-1</t>
  </si>
  <si>
    <t>8220-14898-0201-01-34901-1</t>
  </si>
  <si>
    <t>8220-14898-0201-01-35101-1</t>
  </si>
  <si>
    <t>8220-14898-0201-01-35201-1</t>
  </si>
  <si>
    <t>8220-14898-0201-01-35501-1</t>
  </si>
  <si>
    <t>8220-14898-0201-01-35801-1</t>
  </si>
  <si>
    <t>8220-14898-0201-01-39201-1</t>
  </si>
  <si>
    <t>8220-14898-0201-01-39801-1</t>
  </si>
  <si>
    <t>8220-14898-0201-01-39901-1</t>
  </si>
  <si>
    <t>8220-14898-0201-01-41503-1</t>
  </si>
  <si>
    <t>8220-14898-0201-01-45101-4</t>
  </si>
  <si>
    <t>8220-14898-0201-01-45201-4</t>
  </si>
  <si>
    <t>8220-14898-0202-01-11301-1</t>
  </si>
  <si>
    <t>8220-14898-0202-01-13201-1</t>
  </si>
  <si>
    <t>8220-14898-0202-01-13202-1</t>
  </si>
  <si>
    <t>8220-14898-0202-01-14102-1</t>
  </si>
  <si>
    <t>8220-14898-0202-01-14301-1</t>
  </si>
  <si>
    <t>8220-14898-0202-01-14401-1</t>
  </si>
  <si>
    <t>8220-14898-0202-01-15101-1</t>
  </si>
  <si>
    <t>8220-14898-0202-01-15407-1</t>
  </si>
  <si>
    <t>8220-14898-0202-01-33901-1</t>
  </si>
  <si>
    <t>8220-14898-0202-01-37501-1</t>
  </si>
  <si>
    <t>8220-14898-0202-01-37601-1</t>
  </si>
  <si>
    <t>8220-14898-0202-01-38301-1</t>
  </si>
  <si>
    <t>8220-14898-0202-01-38501-1</t>
  </si>
  <si>
    <t>8240-14898-0101-01-11301-1</t>
  </si>
  <si>
    <t>8240-14898-0101-01-14301-1</t>
  </si>
  <si>
    <t>8240-14898-0101-01-14401-1</t>
  </si>
  <si>
    <t>8240-14898-0101-01-15101-1</t>
  </si>
  <si>
    <t>8240-14898-0101-01-15407-1</t>
  </si>
  <si>
    <t>8240-14898-0102-01-11301-1</t>
  </si>
  <si>
    <t>8240-14898-0102-01-14301-1</t>
  </si>
  <si>
    <t>8240-14898-0102-01-14401-1</t>
  </si>
  <si>
    <t>Page 21</t>
  </si>
  <si>
    <t>8240-14898-0102-01-15101-1</t>
  </si>
  <si>
    <t>8240-14898-0102-01-15407-1</t>
  </si>
  <si>
    <t>8240-14898-0102-02-31101-1</t>
  </si>
  <si>
    <t>8240-14898-0102-02-34501-1</t>
  </si>
  <si>
    <t>8240-14898-0102-02-35101-1</t>
  </si>
  <si>
    <t>8240-14898-0102-03-31101-1</t>
  </si>
  <si>
    <t>8240-14898-0102-04-31101-1</t>
  </si>
  <si>
    <t>8240-14898-0102-04-35101-1</t>
  </si>
  <si>
    <t>8240-14898-0102-06-31101-1</t>
  </si>
  <si>
    <t>8240-14898-0102-07-31101-1</t>
  </si>
  <si>
    <t>8240-14898-0102-07-35101-1</t>
  </si>
  <si>
    <t>8240-14898-0103-01-11301-1</t>
  </si>
  <si>
    <t>8240-14898-0103-01-14301-1</t>
  </si>
  <si>
    <t>8240-14898-0103-01-14401-1</t>
  </si>
  <si>
    <t>8240-14898-0103-01-15101-1</t>
  </si>
  <si>
    <t>8240-14898-0103-01-15407-1</t>
  </si>
  <si>
    <t>8240-14898-0103-02-31301-1</t>
  </si>
  <si>
    <t>8240-14898-0201-01-11301-1</t>
  </si>
  <si>
    <t>8240-14898-0201-01-14301-1</t>
  </si>
  <si>
    <t>8240-14898-0201-01-14401-1</t>
  </si>
  <si>
    <t>8240-14898-0201-01-15101-1</t>
  </si>
  <si>
    <t>8240-14898-0201-01-15407-1</t>
  </si>
  <si>
    <t>8240-14898-0201-01-26101-1</t>
  </si>
  <si>
    <t>8240-14898-0201-01-31101-1</t>
  </si>
  <si>
    <t>8240-14898-0201-01-33301-1</t>
  </si>
  <si>
    <t>8240-14898-0201-01-33401-1</t>
  </si>
  <si>
    <t>8240-14898-0201-01-34101-1</t>
  </si>
  <si>
    <t>8240-14898-0201-01-34501-1</t>
  </si>
  <si>
    <t>Page 22</t>
  </si>
  <si>
    <t>8240-14898-0201-01-35801-1</t>
  </si>
  <si>
    <t>8240-14898-0201-01-39201-1</t>
  </si>
  <si>
    <t>8240-14898-0201-01-41503-1</t>
  </si>
  <si>
    <t>8240-14898-0201-01-45101-4</t>
  </si>
  <si>
    <t>8240-14898-0202-01-11301-1</t>
  </si>
  <si>
    <t>8240-14898-0202-01-14301-1</t>
  </si>
  <si>
    <t>8240-14898-0202-01-14401-1</t>
  </si>
  <si>
    <t>8240-14898-0202-01-15101-1</t>
  </si>
  <si>
    <t>8240-14898-0202-01-15407-1</t>
  </si>
  <si>
    <t>8240-14898-0202-01-33901-1</t>
  </si>
  <si>
    <t>8240-14898-0202-01-37501-1</t>
  </si>
  <si>
    <t>8250-14898-0101-01-11301-1</t>
  </si>
  <si>
    <t>8250-14898-0101-01-14301-1</t>
  </si>
  <si>
    <t>8250-14898-0101-01-14401-1</t>
  </si>
  <si>
    <t>8250-14898-0101-01-15101-1</t>
  </si>
  <si>
    <t>8250-14898-0101-01-15407-1</t>
  </si>
  <si>
    <t>8250-14898-0102-01-11301-1</t>
  </si>
  <si>
    <t>8250-14898-0102-01-14301-1</t>
  </si>
  <si>
    <t>8250-14898-0102-01-14401-1</t>
  </si>
  <si>
    <t>8250-14898-0102-01-15101-1</t>
  </si>
  <si>
    <t>8250-14898-0102-01-15407-1</t>
  </si>
  <si>
    <t>8250-14898-0102-02-31101-1</t>
  </si>
  <si>
    <t>8250-14898-0102-02-34501-1</t>
  </si>
  <si>
    <t>8250-14898-0102-02-35101-1</t>
  </si>
  <si>
    <t>8250-14898-0102-03-31101-1</t>
  </si>
  <si>
    <t>8250-14898-0102-04-31101-1</t>
  </si>
  <si>
    <t>8250-14898-0102-04-35101-1</t>
  </si>
  <si>
    <t>8250-14898-0102-06-31101-1</t>
  </si>
  <si>
    <t>8250-14898-0102-07-31101-1</t>
  </si>
  <si>
    <t>8250-14898-0102-07-35101-1</t>
  </si>
  <si>
    <t>8250-14898-0103-01-11301-1</t>
  </si>
  <si>
    <t>8250-14898-0103-01-14301-1</t>
  </si>
  <si>
    <t>8250-14898-0103-01-14401-1</t>
  </si>
  <si>
    <t>8250-14898-0103-01-15101-1</t>
  </si>
  <si>
    <t>8250-14898-0103-01-15407-1</t>
  </si>
  <si>
    <t>8250-14898-0103-02-31301-1</t>
  </si>
  <si>
    <t>8250-14898-0201-01-11301-1</t>
  </si>
  <si>
    <t>Page 23</t>
  </si>
  <si>
    <t>8250-14898-0201-01-14301-1</t>
  </si>
  <si>
    <t>8250-14898-0201-01-14401-1</t>
  </si>
  <si>
    <t>8250-14898-0201-01-15101-1</t>
  </si>
  <si>
    <t>8250-14898-0201-01-15407-1</t>
  </si>
  <si>
    <t>8250-14898-0201-01-26101-1</t>
  </si>
  <si>
    <t>8250-14898-0201-01-31101-1</t>
  </si>
  <si>
    <t>8250-14898-0201-01-33301-1</t>
  </si>
  <si>
    <t>8250-14898-0201-01-33401-1</t>
  </si>
  <si>
    <t>8250-14898-0201-01-34101-1</t>
  </si>
  <si>
    <t>8250-14898-0201-01-34501-1</t>
  </si>
  <si>
    <t>8250-14898-0201-01-35801-1</t>
  </si>
  <si>
    <t>8250-14898-0201-01-39201-1</t>
  </si>
  <si>
    <t>8250-14898-0201-01-41503-1</t>
  </si>
  <si>
    <t>8250-14898-0201-01-45101-4</t>
  </si>
  <si>
    <t>8250-14898-0202-01-11301-1</t>
  </si>
  <si>
    <t>8250-14898-0202-01-14301-1</t>
  </si>
  <si>
    <t>8250-14898-0202-01-14401-1</t>
  </si>
  <si>
    <t>8250-14898-0202-01-15101-1</t>
  </si>
  <si>
    <t>8250-14898-0202-01-15407-1</t>
  </si>
  <si>
    <t>8250-14898-0202-01-33901-1</t>
  </si>
  <si>
    <t>8250-14898-0202-01-37501-1</t>
  </si>
  <si>
    <t>8260-14898-0101-01-11301-1</t>
  </si>
  <si>
    <t>8260-14898-0101-01-14301-1</t>
  </si>
  <si>
    <t>8260-14898-0101-01-14401-1</t>
  </si>
  <si>
    <t>8260-14898-0101-01-15101-1</t>
  </si>
  <si>
    <t>8260-14898-0101-01-15407-1</t>
  </si>
  <si>
    <t>8260-14898-0102-01-11301-1</t>
  </si>
  <si>
    <t>8260-14898-0102-01-14301-1</t>
  </si>
  <si>
    <t>8260-14898-0102-01-14401-1</t>
  </si>
  <si>
    <t>8260-14898-0102-01-15101-1</t>
  </si>
  <si>
    <t>8260-14898-0102-01-15407-1</t>
  </si>
  <si>
    <t>Page 24</t>
  </si>
  <si>
    <t>8260-14898-0102-02-31101-1</t>
  </si>
  <si>
    <t>8260-14898-0102-02-34501-1</t>
  </si>
  <si>
    <t>8260-14898-0102-02-35101-1</t>
  </si>
  <si>
    <t>8260-14898-0102-03-31101-1</t>
  </si>
  <si>
    <t>8260-14898-0102-04-31101-1</t>
  </si>
  <si>
    <t>8260-14898-0102-04-35101-1</t>
  </si>
  <si>
    <t>8260-14898-0102-06-31101-1</t>
  </si>
  <si>
    <t>8260-14898-0102-07-31101-1</t>
  </si>
  <si>
    <t>8260-14898-0102-07-35101-1</t>
  </si>
  <si>
    <t>8260-14898-0103-01-11301-1</t>
  </si>
  <si>
    <t>8260-14898-0103-01-14301-1</t>
  </si>
  <si>
    <t>8260-14898-0103-01-14401-1</t>
  </si>
  <si>
    <t>8260-14898-0103-01-15101-1</t>
  </si>
  <si>
    <t>8260-14898-0103-01-15407-1</t>
  </si>
  <si>
    <t>8260-14898-0103-02-31301-1</t>
  </si>
  <si>
    <t>8260-14898-0201-01-11301-1</t>
  </si>
  <si>
    <t>8260-14898-0201-01-14301-1</t>
  </si>
  <si>
    <t>8260-14898-0201-01-14401-1</t>
  </si>
  <si>
    <t>8260-14898-0201-01-15101-1</t>
  </si>
  <si>
    <t>8260-14898-0201-01-15407-1</t>
  </si>
  <si>
    <t>8260-14898-0201-01-26101-1</t>
  </si>
  <si>
    <t>8260-14898-0201-01-31101-1</t>
  </si>
  <si>
    <t>8260-14898-0201-01-33301-1</t>
  </si>
  <si>
    <t>8260-14898-0201-01-33401-1</t>
  </si>
  <si>
    <t>8260-14898-0201-01-34101-1</t>
  </si>
  <si>
    <t>8260-14898-0201-01-34501-1</t>
  </si>
  <si>
    <t>Page 25</t>
  </si>
  <si>
    <t>8260-14898-0201-01-35801-1</t>
  </si>
  <si>
    <t>8260-14898-0201-01-39201-1</t>
  </si>
  <si>
    <t>8260-14898-0201-01-41503-1</t>
  </si>
  <si>
    <t>8260-14898-0201-01-45101-4</t>
  </si>
  <si>
    <t>8260-14898-0202-01-11301-1</t>
  </si>
  <si>
    <t>8260-14898-0202-01-14301-1</t>
  </si>
  <si>
    <t>8260-14898-0202-01-14401-1</t>
  </si>
  <si>
    <t>8260-14898-0202-01-15101-1</t>
  </si>
  <si>
    <t>8260-14898-0202-01-15407-1</t>
  </si>
  <si>
    <t>8260-14898-0202-01-33901-1</t>
  </si>
  <si>
    <t>8260-14898-0202-01-37501-1</t>
  </si>
  <si>
    <t>8270-14898-0101-01-11301-1</t>
  </si>
  <si>
    <t>8270-14898-0101-01-14301-1</t>
  </si>
  <si>
    <t>8270-14898-0101-01-14401-1</t>
  </si>
  <si>
    <t>8270-14898-0101-01-15101-1</t>
  </si>
  <si>
    <t>8270-14898-0101-01-15407-1</t>
  </si>
  <si>
    <t>8270-14898-0102-01-11301-1</t>
  </si>
  <si>
    <t>8270-14898-0102-01-14301-1</t>
  </si>
  <si>
    <t>8270-14898-0102-01-14401-1</t>
  </si>
  <si>
    <t>8270-14898-0102-01-15101-1</t>
  </si>
  <si>
    <t>8270-14898-0102-01-15407-1</t>
  </si>
  <si>
    <t>8270-14898-0102-02-31101-1</t>
  </si>
  <si>
    <t>8270-14898-0102-02-34501-1</t>
  </si>
  <si>
    <t>8270-14898-0102-02-35101-1</t>
  </si>
  <si>
    <t>8270-14898-0102-03-31101-1</t>
  </si>
  <si>
    <t>8270-14898-0102-04-31101-1</t>
  </si>
  <si>
    <t>8270-14898-0102-04-35101-1</t>
  </si>
  <si>
    <t>8270-14898-0102-06-31101-1</t>
  </si>
  <si>
    <t>8270-14898-0102-07-31101-1</t>
  </si>
  <si>
    <t>8270-14898-0102-07-35101-1</t>
  </si>
  <si>
    <t>8270-14898-0103-01-11301-1</t>
  </si>
  <si>
    <t>8270-14898-0103-01-14301-1</t>
  </si>
  <si>
    <t>8270-14898-0103-01-14401-1</t>
  </si>
  <si>
    <t>8270-14898-0103-01-15101-1</t>
  </si>
  <si>
    <t>8270-14898-0103-01-15407-1</t>
  </si>
  <si>
    <t>8270-14898-0103-02-31301-1</t>
  </si>
  <si>
    <t>8270-14898-0201-01-11301-1</t>
  </si>
  <si>
    <t>Page 26</t>
  </si>
  <si>
    <t>8270-14898-0201-01-14301-1</t>
  </si>
  <si>
    <t>8270-14898-0201-01-14401-1</t>
  </si>
  <si>
    <t>8270-14898-0201-01-15101-1</t>
  </si>
  <si>
    <t>8270-14898-0201-01-15407-1</t>
  </si>
  <si>
    <t>8270-14898-0201-01-26101-1</t>
  </si>
  <si>
    <t>8270-14898-0201-01-31101-1</t>
  </si>
  <si>
    <t>8270-14898-0201-01-33301-1</t>
  </si>
  <si>
    <t>8270-14898-0201-01-33401-1</t>
  </si>
  <si>
    <t>8270-14898-0201-01-34101-1</t>
  </si>
  <si>
    <t>8270-14898-0201-01-34501-1</t>
  </si>
  <si>
    <t>8270-14898-0201-01-35801-1</t>
  </si>
  <si>
    <t>8270-14898-0201-01-39201-1</t>
  </si>
  <si>
    <t>8270-14898-0201-01-41503-1</t>
  </si>
  <si>
    <t>8270-14898-0201-01-45101-4</t>
  </si>
  <si>
    <t>8270-14898-0202-01-11301-1</t>
  </si>
  <si>
    <t>8270-14898-0202-01-14301-1</t>
  </si>
  <si>
    <t>8270-14898-0202-01-14401-1</t>
  </si>
  <si>
    <t>8270-14898-0202-01-15101-1</t>
  </si>
  <si>
    <t>8270-14898-0202-01-15407-1</t>
  </si>
  <si>
    <t>8270-14898-0202-01-33901-1</t>
  </si>
  <si>
    <t>8270-14898-0202-01-37501-1</t>
  </si>
  <si>
    <t>Page 27</t>
  </si>
  <si>
    <t>02:05 PM</t>
  </si>
  <si>
    <t>Saldo Inicial
1</t>
  </si>
  <si>
    <t>Cargos 
del
periodo 2</t>
  </si>
  <si>
    <t>Abonos
del
periodo 3</t>
  </si>
  <si>
    <t>Saldo Final
4(1+2-3)</t>
  </si>
  <si>
    <t>Variación del Periodo
(4-1)</t>
  </si>
  <si>
    <t>Ubicación</t>
  </si>
  <si>
    <t>Total hectáreas ocupadas</t>
  </si>
  <si>
    <t>Costo de Servicios prom. Mensual (Excepto Vig., Agua y Mto Pozos)</t>
  </si>
  <si>
    <t>METROS CÚBICOS DE AGUA</t>
  </si>
  <si>
    <t>1122-11035</t>
  </si>
  <si>
    <t>OPERAC. HOTELERAS DE CHIH,S.A</t>
  </si>
  <si>
    <t>1122-11077</t>
  </si>
  <si>
    <t>CIA. TELEFONOS Y B. RAICES.</t>
  </si>
  <si>
    <t>1122-11089</t>
  </si>
  <si>
    <t>ARRENDAMIENTOS ARMA SA DE CV</t>
  </si>
  <si>
    <t>1122-11702</t>
  </si>
  <si>
    <t>HELM DE MEXICO SA DE CV</t>
  </si>
  <si>
    <t>1122-11723</t>
  </si>
  <si>
    <t>PRECISION OMEGA SA DE CV</t>
  </si>
  <si>
    <t>1122-11907</t>
  </si>
  <si>
    <t>ADMINISTRADORA DE SERV. AEROPORTUARIOS DE CHIH SA DE CV</t>
  </si>
  <si>
    <t>1122-11940</t>
  </si>
  <si>
    <t>DISTRIBUIDORA KROMA SA DE CV</t>
  </si>
  <si>
    <t>1122-11943</t>
  </si>
  <si>
    <t>ALTO TERRA SA DE CV</t>
  </si>
  <si>
    <t>1122-11944</t>
  </si>
  <si>
    <t>PROMOTORA DE MICROINDUSTRIA DE CHIHUAHUA AC</t>
  </si>
  <si>
    <t>1122-31009</t>
  </si>
  <si>
    <t>2112-1-26101</t>
  </si>
  <si>
    <t>2112-1-31301</t>
  </si>
  <si>
    <t>2112-1-33901</t>
  </si>
  <si>
    <t>2112-1-35801</t>
  </si>
  <si>
    <t>2150</t>
  </si>
  <si>
    <t>PASIVOS DIFERIDOS A CORTO PLAZO</t>
  </si>
  <si>
    <t>2151</t>
  </si>
  <si>
    <t>INGRESOS COBRADOS POR ADELANTADO A CORTO PLAZO</t>
  </si>
  <si>
    <t>8240-14898-0102-02-26101-1</t>
  </si>
  <si>
    <t>8250-14898-0102-02-26101-1</t>
  </si>
  <si>
    <t>8260-14898-0102-02-26101-1</t>
  </si>
  <si>
    <t>8270-14898-0102-02-26101-1</t>
  </si>
  <si>
    <t>Page 28</t>
  </si>
  <si>
    <t>ING. FABIÁN ALEJANDRO SANTANA MÁRQUEZ</t>
  </si>
  <si>
    <t>1122-11894</t>
  </si>
  <si>
    <t>HERMILO VILLALOBOS CAÑAS</t>
  </si>
  <si>
    <t>1122-11942</t>
  </si>
  <si>
    <t>SOLUCHEFS S DE RL DE CV</t>
  </si>
  <si>
    <t>1122-11945</t>
  </si>
  <si>
    <t>FIDEICOMISO F/3236</t>
  </si>
  <si>
    <t>Grupo Yazaki, SA de CV</t>
  </si>
  <si>
    <t>Factura cancelada en cobranza y no en contabilidad</t>
  </si>
  <si>
    <t>CONSTRUCCIONES EN PROCESO</t>
  </si>
  <si>
    <t>1122-11836</t>
  </si>
  <si>
    <t>VIAKABLE SA DE CV</t>
  </si>
  <si>
    <t>1236</t>
  </si>
  <si>
    <t>CONSTRUCCIONES EN PROCESO EN BIENES PROPIOS</t>
  </si>
  <si>
    <t>1236-1</t>
  </si>
  <si>
    <t>Edificación Habitacional en Proceso</t>
  </si>
  <si>
    <t>Bourns de México S de RL de CV</t>
  </si>
  <si>
    <t>Cadena Comercial OXXO, SA de CV</t>
  </si>
  <si>
    <t>Casa Licorera FAGOM, SA de CV</t>
  </si>
  <si>
    <t>Casa Myers, SA</t>
  </si>
  <si>
    <t>Centro de Investigación en Materiales Avanzados</t>
  </si>
  <si>
    <t>Autozone de México, SA de CV</t>
  </si>
  <si>
    <t>Distribuodora Kroma, SA de CV</t>
  </si>
  <si>
    <t>Continental Contitech Chihuahua</t>
  </si>
  <si>
    <t>Alto Terra, SA de CV</t>
  </si>
  <si>
    <t>Soluchef S de RL de CV</t>
  </si>
  <si>
    <t>Instituto Trech S de RLMI</t>
  </si>
  <si>
    <t>Transportes Castores de Baja California, SA de CV</t>
  </si>
  <si>
    <t>Eticolor SA de CV</t>
  </si>
  <si>
    <t>Metecno SA de CV</t>
  </si>
  <si>
    <t>Surtidora Mexicana de Monterrey, SA</t>
  </si>
  <si>
    <t>1122-11952</t>
  </si>
  <si>
    <t>CONTRUCENTRO DE CHIHUAHUA SA DE CV</t>
  </si>
  <si>
    <t>1122-51026</t>
  </si>
  <si>
    <t>SOCORRO VEGA DOMINGUEZ</t>
  </si>
  <si>
    <t>SECRETARIA DE HACIENDA</t>
  </si>
  <si>
    <t>DIRECCION GENERAL DE EGRESOS</t>
  </si>
  <si>
    <t xml:space="preserve">ESTADO DE ORIGEN Y APLICACIÓN DE RECURSOS </t>
  </si>
  <si>
    <t>SALDO INICIAL</t>
  </si>
  <si>
    <t>SALDO FINAL</t>
  </si>
  <si>
    <t>ORIGEN</t>
  </si>
  <si>
    <t>APLICACIÓN</t>
  </si>
  <si>
    <t>FONDOS FIJOS</t>
  </si>
  <si>
    <t>INVERSIONES TEMPORALES</t>
  </si>
  <si>
    <t xml:space="preserve">ANTICIPO PROVEEDORES </t>
  </si>
  <si>
    <t xml:space="preserve">DEUDORES DIVERSOS </t>
  </si>
  <si>
    <t>CUENTAS POR COBRAR</t>
  </si>
  <si>
    <t>PAGOS ANTICIPADOS</t>
  </si>
  <si>
    <t>CREDITOS FISCALES POR ACREDITAR</t>
  </si>
  <si>
    <t>ESTIMACIÓN CUENTAS INCOBRABLES</t>
  </si>
  <si>
    <t>FIJO</t>
  </si>
  <si>
    <t>INVERSIONES A LARGO PLAZO</t>
  </si>
  <si>
    <t>DERECHOS A RECIBIR EFECTIVO A L.P.</t>
  </si>
  <si>
    <t>BIENES INMUEBLES</t>
  </si>
  <si>
    <t>DEPRECIACIÓN ACUMULADA DE BIENES</t>
  </si>
  <si>
    <t>ACTIVOS DIFERIDOS</t>
  </si>
  <si>
    <t>CONSTRUCCIONES PROC.</t>
  </si>
  <si>
    <t>TOTAL FIJO</t>
  </si>
  <si>
    <t>OTROS ACTIVOS</t>
  </si>
  <si>
    <t>DEPOSITOS EN GARANTIA</t>
  </si>
  <si>
    <t>LICENCIAS Y DERECHOS</t>
  </si>
  <si>
    <t>TOTAL DIFERIDO</t>
  </si>
  <si>
    <t>TOTAL ACTIVO</t>
  </si>
  <si>
    <t>ISSSTE POR PAGAR</t>
  </si>
  <si>
    <t>ACREEDORES DIVERSOS</t>
  </si>
  <si>
    <t>SUELDOS Y PREST POR PAGAR</t>
  </si>
  <si>
    <t>IMPUESTOS POR PAGAR</t>
  </si>
  <si>
    <t>PROVEEDORES</t>
  </si>
  <si>
    <t>OTROS DOC POR PAGAR A CORTO PLAZO</t>
  </si>
  <si>
    <t>PROVISIONES GASTOS POR PAGAR</t>
  </si>
  <si>
    <t>TOTAL PASIVO CIRCULANTE</t>
  </si>
  <si>
    <t>PASIVO DIFERIDO</t>
  </si>
  <si>
    <t>TOTAL PASIVO DIFERIDO</t>
  </si>
  <si>
    <t>TOTAL PASIVO</t>
  </si>
  <si>
    <t>P A T R I M O N I O</t>
  </si>
  <si>
    <t>EXCESO O INSUFICIENCIA ACTUALIZACION</t>
  </si>
  <si>
    <t>RESULTADO DE EJERC ANTERIORES</t>
  </si>
  <si>
    <t xml:space="preserve">RESULTADO DEL EJERCICIO </t>
  </si>
  <si>
    <t>TOTAL PATRIMONIO</t>
  </si>
  <si>
    <t>TOTAL PASIVO + PATRIMONIO</t>
  </si>
  <si>
    <t>RECURSOS GENERADOS</t>
  </si>
  <si>
    <t>RECURSOS APLICADOS A OPERACIÓN</t>
  </si>
  <si>
    <t>INCREMENTO O DISMINICION DE EFECTIVO</t>
  </si>
  <si>
    <t>PROMOTORA (parque Insurgentes)</t>
  </si>
  <si>
    <t>1122-11935</t>
  </si>
  <si>
    <t>1122-11948</t>
  </si>
  <si>
    <t>SURTIDORA MEXICANA DE MONTERREY SA</t>
  </si>
  <si>
    <t>1122-11950</t>
  </si>
  <si>
    <t>TRASNPORTES CASTORES DE BAJA CALIFORNIA SA DE CV</t>
  </si>
  <si>
    <t>1122-11953</t>
  </si>
  <si>
    <t>ADEMCO COMERCIAL Y CENTRO DE INV. Y DES. S DE RL DE CV</t>
  </si>
  <si>
    <t>1122-11958</t>
  </si>
  <si>
    <t>AFFA TRADE SAPI DE CV</t>
  </si>
  <si>
    <t>1122-31031</t>
  </si>
  <si>
    <t>PROMOTORES MEXICANOS DE LA EDUCACION AC</t>
  </si>
  <si>
    <t>2115-45201</t>
  </si>
  <si>
    <t>JUBILADOS</t>
  </si>
  <si>
    <t>5252</t>
  </si>
  <si>
    <t>JUBILACIONES</t>
  </si>
  <si>
    <t>5252-45201</t>
  </si>
  <si>
    <t>8240-14898-0201-01-45201-4</t>
  </si>
  <si>
    <t>8250-14898-0201-01-45201-4</t>
  </si>
  <si>
    <t>8260-14898-0201-01-45201-4</t>
  </si>
  <si>
    <t>8270-14898-0201-01-45201-4</t>
  </si>
  <si>
    <t>IVA DIFERIDO</t>
  </si>
  <si>
    <t>1122-11959</t>
  </si>
  <si>
    <t>SINDICATO NACIONAL DE TRABAJADORES DE LA EDUCACION SECCION VIII</t>
  </si>
  <si>
    <t>IGS INDUSTRIAL FUND III SAPI DE CV</t>
  </si>
  <si>
    <t>1122-11962</t>
  </si>
  <si>
    <t>PALOMINO RECTIFICACIONES SA DE CV</t>
  </si>
  <si>
    <t>1122-11963</t>
  </si>
  <si>
    <t>ORORA DE MEXICO SA DE CV</t>
  </si>
  <si>
    <t>1122-11964</t>
  </si>
  <si>
    <t>CONDUCTOS Y METALMECANICA SA DE CV</t>
  </si>
  <si>
    <t>Pago anticipado de clientes</t>
  </si>
  <si>
    <t>1122-11968</t>
  </si>
  <si>
    <t>HELENA TEICHROEB WOLF</t>
  </si>
  <si>
    <t>Citibanamex</t>
  </si>
  <si>
    <t>Resultado por Tenencias de Activos No Monetarios</t>
  </si>
  <si>
    <t>Mobiliario y equipo de cómputo</t>
  </si>
  <si>
    <t>PROMOTORA PARA EL DESARROLLO ECONÓMICO DE CHIHUAHUA</t>
  </si>
  <si>
    <t>1122-11946</t>
  </si>
  <si>
    <t>OSCAR MORIEL VILLALOBOS</t>
  </si>
  <si>
    <t>1122-73</t>
  </si>
  <si>
    <t>Ingresos por Venta de Bienes y Prestación de Servicios de Entidades Paraestatales y Fideicomisos No Empresariales y No Financieros</t>
  </si>
  <si>
    <t>1122-79-01</t>
  </si>
  <si>
    <t>Otros Ingresos, Intereses Ganados de Títulos, Valores y demás Instrumentos Financieros</t>
  </si>
  <si>
    <t>1122-79-02</t>
  </si>
  <si>
    <t>Otros Ingresos, Otros Ingresos y Beneficios Varios</t>
  </si>
  <si>
    <t>VEHÍCULOS Y EQUIPO DE TRANSPORTE</t>
  </si>
  <si>
    <t>3210</t>
  </si>
  <si>
    <t>RESULTADOS DEL EJERCICIO (AHORRO/ DESAHORRO)</t>
  </si>
  <si>
    <t>INGRESOS POR VENTA DE BIENES Y PRESTACIÓN DE SERVICIOS</t>
  </si>
  <si>
    <t>INGRESOS POR VENTA DE BIENES Y PRESTACIÓN DE SERVICIOS DE ENTIDADES PARAESTATALES Y FIDEICOMISOS NO EMPRESARIALES Y NO FINANCIEROS</t>
  </si>
  <si>
    <t>4173-1</t>
  </si>
  <si>
    <t>Ingresos por venta de bienes y servicios de entidades paraestatales no empresariales y no financieros</t>
  </si>
  <si>
    <t>4173-1-10001</t>
  </si>
  <si>
    <t>4173-1-10002</t>
  </si>
  <si>
    <t>4173-1-10003</t>
  </si>
  <si>
    <t>4173-1-10004</t>
  </si>
  <si>
    <t>4173-1-20002</t>
  </si>
  <si>
    <t>4173-1-20003</t>
  </si>
  <si>
    <t>4173-1-30001</t>
  </si>
  <si>
    <t>4173-1-30002</t>
  </si>
  <si>
    <t>4173-1-30003</t>
  </si>
  <si>
    <t>4173-1-50002</t>
  </si>
  <si>
    <t>4173-1-50003</t>
  </si>
  <si>
    <t>4173-1-60003</t>
  </si>
  <si>
    <t>INTERESES GANADOS DE TÍTULOS, VALORES Y DEMÁS INSTRUMENTOS FINANCIEROS</t>
  </si>
  <si>
    <t>8110-73</t>
  </si>
  <si>
    <t>8110-73-1</t>
  </si>
  <si>
    <t>8110-73-1-10001</t>
  </si>
  <si>
    <t>8110-73-1-10002</t>
  </si>
  <si>
    <t>8110-73-1-10003</t>
  </si>
  <si>
    <t>8110-73-1-20002</t>
  </si>
  <si>
    <t>8110-73-1-20003</t>
  </si>
  <si>
    <t>8110-73-1-30001</t>
  </si>
  <si>
    <t>8110-73-1-30002</t>
  </si>
  <si>
    <t>8110-73-1-30003</t>
  </si>
  <si>
    <t>8110-73-1-50002</t>
  </si>
  <si>
    <t>8110-73-1-50003</t>
  </si>
  <si>
    <t>8110-73-1-60001</t>
  </si>
  <si>
    <t>8110-73-1-60003</t>
  </si>
  <si>
    <t>8110-73-2</t>
  </si>
  <si>
    <t>8110-73-2-10001</t>
  </si>
  <si>
    <t>8120-73</t>
  </si>
  <si>
    <t>8120-73-1</t>
  </si>
  <si>
    <t>8120-73-1-10001</t>
  </si>
  <si>
    <t>8120-73-1-10002</t>
  </si>
  <si>
    <t>8120-73-1-10003</t>
  </si>
  <si>
    <t>8120-73-1-10004</t>
  </si>
  <si>
    <t>8120-73-1-20002</t>
  </si>
  <si>
    <t>8120-73-1-20003</t>
  </si>
  <si>
    <t>8120-73-1-30001</t>
  </si>
  <si>
    <t>8120-73-1-30002</t>
  </si>
  <si>
    <t>8120-73-1-30003</t>
  </si>
  <si>
    <t>8120-73-1-50002</t>
  </si>
  <si>
    <t>8120-73-1-50003</t>
  </si>
  <si>
    <t>8120-73-1-60001</t>
  </si>
  <si>
    <t>8120-73-1-60003</t>
  </si>
  <si>
    <t>8120-73-2</t>
  </si>
  <si>
    <t>8120-73-2-10001</t>
  </si>
  <si>
    <t>8120-79-01</t>
  </si>
  <si>
    <t>8120-79-01-10001</t>
  </si>
  <si>
    <t>8120-79-01-10002</t>
  </si>
  <si>
    <t>8120-79-02</t>
  </si>
  <si>
    <t>8120-79-02-10003</t>
  </si>
  <si>
    <t>8140-73</t>
  </si>
  <si>
    <t>8140-73-1</t>
  </si>
  <si>
    <t>8140-73-1-10001</t>
  </si>
  <si>
    <t>8140-73-1-10002</t>
  </si>
  <si>
    <t>8140-73-1-10003</t>
  </si>
  <si>
    <t>8140-73-1-10004</t>
  </si>
  <si>
    <t>8140-73-1-20002</t>
  </si>
  <si>
    <t>8140-73-1-20003</t>
  </si>
  <si>
    <t>8140-73-1-30001</t>
  </si>
  <si>
    <t>8140-73-1-30002</t>
  </si>
  <si>
    <t>8140-73-1-30003</t>
  </si>
  <si>
    <t>8140-73-1-50002</t>
  </si>
  <si>
    <t>8140-73-1-50003</t>
  </si>
  <si>
    <t>8140-73-1-60003</t>
  </si>
  <si>
    <t>8140-73-2</t>
  </si>
  <si>
    <t>8140-73-2-10001</t>
  </si>
  <si>
    <t>8140-79-01</t>
  </si>
  <si>
    <t>8140-79-01-10001</t>
  </si>
  <si>
    <t>8140-79-01-10002</t>
  </si>
  <si>
    <t>8140-79-02</t>
  </si>
  <si>
    <t>8140-79-02-10003</t>
  </si>
  <si>
    <t>8150-73</t>
  </si>
  <si>
    <t>8150-73-1</t>
  </si>
  <si>
    <t>8150-73-1-10001</t>
  </si>
  <si>
    <t>8150-73-1-10002</t>
  </si>
  <si>
    <t>8150-73-1-10003</t>
  </si>
  <si>
    <t>8150-73-1-10004</t>
  </si>
  <si>
    <t>8150-73-1-20002</t>
  </si>
  <si>
    <t>8150-73-1-20003</t>
  </si>
  <si>
    <t>8150-73-1-30001</t>
  </si>
  <si>
    <t>8150-73-1-30002</t>
  </si>
  <si>
    <t>8150-73-1-30003</t>
  </si>
  <si>
    <t>8150-73-1-50002</t>
  </si>
  <si>
    <t>8150-73-1-50003</t>
  </si>
  <si>
    <t>8150-73-1-60003</t>
  </si>
  <si>
    <t>8150-73-2</t>
  </si>
  <si>
    <t>8150-73-2-10001</t>
  </si>
  <si>
    <t>8150-79-01</t>
  </si>
  <si>
    <t>8150-79-01-10001</t>
  </si>
  <si>
    <t>8150-79-01-10002</t>
  </si>
  <si>
    <t>8150-79-02</t>
  </si>
  <si>
    <t>8150-79-02-10003</t>
  </si>
  <si>
    <t>1122-11845</t>
  </si>
  <si>
    <t>COME CAMILA D1 SA DE CV</t>
  </si>
  <si>
    <t>1122-11904</t>
  </si>
  <si>
    <t>GRUPO YAZAKI SA DE CV</t>
  </si>
  <si>
    <t>1122-11972</t>
  </si>
  <si>
    <t>FLETES BURA DE CHIHUAHUA SA DE CV</t>
  </si>
  <si>
    <t>1122-11974</t>
  </si>
  <si>
    <t>TECNOCEREALES COMERCIALES S DE RL MI</t>
  </si>
  <si>
    <t>1122-11976</t>
  </si>
  <si>
    <t>TRAILERS Y SERVICIOS DE JUAREZ SA DE CV</t>
  </si>
  <si>
    <t>1122-21095</t>
  </si>
  <si>
    <t>VEBCO INTERNACIONAL S DE RL DE CV</t>
  </si>
  <si>
    <t>1122-21096</t>
  </si>
  <si>
    <t>2112-1-38301</t>
  </si>
  <si>
    <t>CONGRESOS Y CONVENCIONES</t>
  </si>
  <si>
    <t>3220-02018</t>
  </si>
  <si>
    <t>RESULTADO EJERCICIO 2018</t>
  </si>
  <si>
    <t>5138</t>
  </si>
  <si>
    <t>SERVICIOS OFICIALES</t>
  </si>
  <si>
    <t>5138-38301</t>
  </si>
  <si>
    <t>8240-14898-0202-01-38301-1</t>
  </si>
  <si>
    <t>8250-14898-0202-01-38301-1</t>
  </si>
  <si>
    <t>8260-14898-0202-01-38301-1</t>
  </si>
  <si>
    <t>8270-14898-0202-01-38301-1</t>
  </si>
  <si>
    <t>Promotora para el Desarrollo Económico de Chihuahua</t>
  </si>
  <si>
    <t>1122-11916</t>
  </si>
  <si>
    <t>SAMUEL LOPEZ AGUILAR</t>
  </si>
  <si>
    <t>1122-11957</t>
  </si>
  <si>
    <t>LILIA ISELA LOYA OLIVAS</t>
  </si>
  <si>
    <t>1122-11979</t>
  </si>
  <si>
    <t>MULTIPROYECTOS TERRAZAS SC</t>
  </si>
  <si>
    <t>1122-11785</t>
  </si>
  <si>
    <t>JAIME ANTONIO TERAN TREJO</t>
  </si>
  <si>
    <t>1122-11949</t>
  </si>
  <si>
    <t>ETICOLOR SA DE CV</t>
  </si>
  <si>
    <t>1122-11970</t>
  </si>
  <si>
    <t>QUIMICA ESPECIALIZADA DARR SA DE CV</t>
  </si>
  <si>
    <t>1122-11975</t>
  </si>
  <si>
    <t>LA COSMOPOLITANA SA DE CV</t>
  </si>
  <si>
    <t>1122-11981</t>
  </si>
  <si>
    <t>GRUPO LARA VILLALOBOS</t>
  </si>
  <si>
    <t>1112-10010</t>
  </si>
  <si>
    <t>1125-10011</t>
  </si>
  <si>
    <t>1122-11977</t>
  </si>
  <si>
    <t>ALONSO GARCIA FERNANDEZ</t>
  </si>
  <si>
    <t>1122-11987</t>
  </si>
  <si>
    <t>ANA CYNTHIA CARMONA MOLINA</t>
  </si>
  <si>
    <t>1122-11988</t>
  </si>
  <si>
    <t>CESAR RAMON POSADA ROMERO</t>
  </si>
  <si>
    <t>1122-11989</t>
  </si>
  <si>
    <t>AUTOTRANSORTE DUR S DE RL DE CV</t>
  </si>
  <si>
    <t>JUAN FRANCISCO MURGUIA ESTRADA</t>
  </si>
  <si>
    <t>5231-5599</t>
  </si>
  <si>
    <t>Subsidios y costo venta en terrenos</t>
  </si>
  <si>
    <t>Cuenta no. 9000775 (Representa $57,532.75 dlls)</t>
  </si>
  <si>
    <t>RESIDEO MANUFACTURAS DE CHIHUAHUA S. DE R.L. DE C.V.</t>
  </si>
  <si>
    <t>1122-11991</t>
  </si>
  <si>
    <t>VIVE CORAZON AC</t>
  </si>
  <si>
    <t>1122-11992</t>
  </si>
  <si>
    <t>FIDEICOMISO CIB/3276</t>
  </si>
  <si>
    <t>1122-11993</t>
  </si>
  <si>
    <t>HOMERO SALAZAR SALAS</t>
  </si>
  <si>
    <t>1231-10001</t>
  </si>
  <si>
    <t>1231-10002</t>
  </si>
  <si>
    <t>1231-10003</t>
  </si>
  <si>
    <t>1231-10004</t>
  </si>
  <si>
    <t>1231-10005</t>
  </si>
  <si>
    <t>1231-10006</t>
  </si>
  <si>
    <t>TERRENOA NAICA</t>
  </si>
  <si>
    <t>1231-10007</t>
  </si>
  <si>
    <t>1231-10008</t>
  </si>
  <si>
    <t>1231-10009</t>
  </si>
  <si>
    <t>1231-10010</t>
  </si>
  <si>
    <t>1231-10011</t>
  </si>
  <si>
    <t>1231-10015</t>
  </si>
  <si>
    <t>4173-2-30001</t>
  </si>
  <si>
    <t>ING POR ARRENDAMIENTO CUAUHTEMOC</t>
  </si>
  <si>
    <t>8120-73-2-30001</t>
  </si>
  <si>
    <t>8140-73-2-30001</t>
  </si>
  <si>
    <t>8150-73-2-30001</t>
  </si>
  <si>
    <t>1122-11960</t>
  </si>
  <si>
    <t>EMPAQUES Y EMBALAJES PREMIER SA DE CV</t>
  </si>
  <si>
    <t>Alonso García Fernández</t>
  </si>
  <si>
    <t>Ana Cynthi Carmona Molina</t>
  </si>
  <si>
    <t>Armando Maldonado Ramos</t>
  </si>
  <si>
    <t>Arrendondo Logistics SA de CV</t>
  </si>
  <si>
    <t>Autotransportes DUR S de RL de CV</t>
  </si>
  <si>
    <t>Cesar Ramón Posada Romero</t>
  </si>
  <si>
    <t>Desarrollos KARE, SA de CV</t>
  </si>
  <si>
    <t>Diego Fernando Zepeda Escalera</t>
  </si>
  <si>
    <t>Proesmma, SA de CV</t>
  </si>
  <si>
    <t>Denise Michelle Aubry Chacón</t>
  </si>
  <si>
    <t>Conductores y Metalmecanica SA  de CV</t>
  </si>
  <si>
    <t>Orora de México, SA de CV</t>
  </si>
  <si>
    <t>Palomino Rectificaciones, SA de CV</t>
  </si>
  <si>
    <t>IGS Industrial Fund III, SA de CV</t>
  </si>
  <si>
    <t>Empaques y Embalajes Premier, SA de CV</t>
  </si>
  <si>
    <t>Sindicato Nacional de Trabajadores de la Educación Sección 8</t>
  </si>
  <si>
    <t>AFFA TRADE SAPI de CV</t>
  </si>
  <si>
    <t>Ademco Comercial y Centro de Investigación y Desarrollo S de RL de CV</t>
  </si>
  <si>
    <t>Concretos de Chihuahua, SA de CV</t>
  </si>
  <si>
    <t>Fideicomiso CIB/3276</t>
  </si>
  <si>
    <t>GMQ Construcciones SA de CV</t>
  </si>
  <si>
    <t>Helene Teichroeb Wolf</t>
  </si>
  <si>
    <t>Grupo Lara Villalobos, SA de CV</t>
  </si>
  <si>
    <t>Homero Salas Salas</t>
  </si>
  <si>
    <t>Jesús Eduardo Rodríguez Aiza</t>
  </si>
  <si>
    <t>La Cosmopolitana SA de CV</t>
  </si>
  <si>
    <t>Luis Eduardo Arredondo Ruíz</t>
  </si>
  <si>
    <t>Maco Pecan SA de CV</t>
  </si>
  <si>
    <t>Multiservicios Terrazas, SC</t>
  </si>
  <si>
    <t>Quimica Especializada Darr, SA de CV</t>
  </si>
  <si>
    <t>Raúl Villanueva Romero</t>
  </si>
  <si>
    <t>Sinergia y Masivos, SA de CV</t>
  </si>
  <si>
    <t>STO en Servicios S de RL de CV</t>
  </si>
  <si>
    <t>Suministros Eseeni SA de CV</t>
  </si>
  <si>
    <t>Tecnocereales Comerciales S de RLMI</t>
  </si>
  <si>
    <t>Trailers y Servicios de Juarez, SA de CV</t>
  </si>
  <si>
    <t>Transporte Bura de Chihuahua, SA de CV</t>
  </si>
  <si>
    <t>Vive Corazón SA de CV</t>
  </si>
  <si>
    <t xml:space="preserve">TOTAL  EMPRESAS CON SERVICIOS </t>
  </si>
  <si>
    <t>TOTAL EMPRESAS</t>
  </si>
  <si>
    <t>Promotores Mexicano de la Educación AC</t>
  </si>
  <si>
    <t xml:space="preserve">TOTAL EMPRESAS </t>
  </si>
  <si>
    <t>1122-12000</t>
  </si>
  <si>
    <t>OMAR LIBRADO GARZA LOPEZ</t>
  </si>
  <si>
    <t>1122-12008</t>
  </si>
  <si>
    <t>RYDER CAPITAL S DE RL DE CV</t>
  </si>
  <si>
    <t>1122-12010</t>
  </si>
  <si>
    <t>MATERIALES RECICLABLES DEL CARMEN SA DE CV</t>
  </si>
  <si>
    <t>2151-11606</t>
  </si>
  <si>
    <t>1131-10043</t>
  </si>
  <si>
    <t>1122-11502</t>
  </si>
  <si>
    <t>VICTORY PACKAGING DE MEXICO S. DE R.L. DE C.V.</t>
  </si>
  <si>
    <t>1122-11996</t>
  </si>
  <si>
    <t>SUMINISTROS ESEENI SA DE CV</t>
  </si>
  <si>
    <t>1122-12012</t>
  </si>
  <si>
    <t>BRIDGE CHEMICAL COMPANY SA DE CV</t>
  </si>
  <si>
    <t>1122-12014</t>
  </si>
  <si>
    <t>BOMBARDIER AEROSPACE MEXICO SA DE CV</t>
  </si>
  <si>
    <t>1122-12016</t>
  </si>
  <si>
    <t>REALTY PROYECTS S DE RL DE CV</t>
  </si>
  <si>
    <t>1122-12017</t>
  </si>
  <si>
    <t>CARI VISION SA DE CV</t>
  </si>
  <si>
    <t>UNIVERSIDAD AUTONOMA DE CHIHUAHUA</t>
  </si>
  <si>
    <t>1123-10014</t>
  </si>
  <si>
    <t>1122-12004</t>
  </si>
  <si>
    <t>ACELEC CHIHUAHUA SA DE CV</t>
  </si>
  <si>
    <t>1122-12013</t>
  </si>
  <si>
    <t>IMPULSORA DE MERCADOS DE MEXICO SA DE CV</t>
  </si>
  <si>
    <t>GOBIERNO DEL EDO. DE CHIHUAHUA</t>
  </si>
  <si>
    <t>1124-10006</t>
  </si>
  <si>
    <t>SALDO A FAV IVA DIC 2019</t>
  </si>
  <si>
    <t>1236-1-58313</t>
  </si>
  <si>
    <t>EDIFICIO PIDET/SPArk</t>
  </si>
  <si>
    <t>Gastos no deducibles</t>
  </si>
  <si>
    <t>Otros gastos menores</t>
  </si>
  <si>
    <t>Total 2020</t>
  </si>
  <si>
    <t>ACTIVOS FIJOS</t>
  </si>
  <si>
    <t>Maquinaria y Equipo</t>
  </si>
  <si>
    <t>Derechos de agua</t>
  </si>
  <si>
    <t>Recarpeteo vialidades</t>
  </si>
  <si>
    <t xml:space="preserve">Reposición tanque elevado y subestación pozo 6 </t>
  </si>
  <si>
    <t xml:space="preserve">Bodega para Archivo </t>
  </si>
  <si>
    <t>Edificio PIDET/SPARK</t>
  </si>
  <si>
    <t>PARQUE INDUSTRIAL AEROPUERTO</t>
  </si>
  <si>
    <t>Reposición  tanque elevado y subestación pozo 1</t>
  </si>
  <si>
    <t xml:space="preserve">Reposición tanque elevado y subestación pozo 1 y 2 </t>
  </si>
  <si>
    <t>TOTAL INFRAESTRUCTURA Y ACTIVOS FIJOS</t>
  </si>
  <si>
    <t>Operadora Futurama</t>
  </si>
  <si>
    <t>Quiroproductos de Cuauhtémoc</t>
  </si>
  <si>
    <t>1122-11984</t>
  </si>
  <si>
    <t>DIEGO FERNANDO ZEPEDA ESCALERA</t>
  </si>
  <si>
    <t>1124-10007</t>
  </si>
  <si>
    <t>SALDO A FAVOR IVA ENE 2020</t>
  </si>
  <si>
    <t>3220-02019</t>
  </si>
  <si>
    <t>REAS 2019</t>
  </si>
  <si>
    <t>8110-73-2-30001</t>
  </si>
  <si>
    <t>8110-79-01</t>
  </si>
  <si>
    <t>8110-79-01-10001</t>
  </si>
  <si>
    <t>8210-14898-0102-03-26101-1</t>
  </si>
  <si>
    <t>8210-14898-0102-04-26101-1</t>
  </si>
  <si>
    <t>8210-14898-0102-06-26101-1</t>
  </si>
  <si>
    <t>8210-14898-0102-07-26101-1</t>
  </si>
  <si>
    <t>8210-14898-0103-01-13301-1</t>
  </si>
  <si>
    <t>8220-14898-0102-03-26101-1</t>
  </si>
  <si>
    <t>8220-14898-0102-04-26101-1</t>
  </si>
  <si>
    <t>8220-14898-0102-06-26101-1</t>
  </si>
  <si>
    <t>8220-14898-0102-07-26101-1</t>
  </si>
  <si>
    <t>8220-14898-0103-01-13301-1</t>
  </si>
  <si>
    <t>8240-14898-0103-01-13301-1</t>
  </si>
  <si>
    <t>8250-14898-0103-01-13301-1</t>
  </si>
  <si>
    <t>8260-14898-0103-01-13301-1</t>
  </si>
  <si>
    <t>8270-14898-0103-01-13301-1</t>
  </si>
  <si>
    <t>VARIACIÓN DE EJERCIDO CONTRA PRESUPUESTO</t>
  </si>
  <si>
    <t>Saldo en ceros al cierre del mes</t>
  </si>
  <si>
    <t>1122-12011</t>
  </si>
  <si>
    <t>PXT MANUFACTURING S DE RL MI</t>
  </si>
  <si>
    <t>1122-12018</t>
  </si>
  <si>
    <t>INMOBILIARIA TOGARSA S DE RL DE CV</t>
  </si>
  <si>
    <t>1122-12019</t>
  </si>
  <si>
    <t>IRVIN LUNA FRANCO</t>
  </si>
  <si>
    <t>1122-12020</t>
  </si>
  <si>
    <t>MERCAINSTALACION Y DISTRIBUCION SA DE CV</t>
  </si>
  <si>
    <t>2112-1-21101</t>
  </si>
  <si>
    <t>MATERIALES, UTILES Y EQ. MENORES OFICINA</t>
  </si>
  <si>
    <t>2112-1-22101</t>
  </si>
  <si>
    <t>PRODUCTOS ALIMENTICIOS PARA PERSONAS</t>
  </si>
  <si>
    <t>2112-1-31401</t>
  </si>
  <si>
    <t>TELEFONÍA TRADICIONAL</t>
  </si>
  <si>
    <t>2112-1-33801</t>
  </si>
  <si>
    <t>SERVICIOS DE VIGILANCIA</t>
  </si>
  <si>
    <t>2119-10002</t>
  </si>
  <si>
    <t>SRIA. DE HACIENDA</t>
  </si>
  <si>
    <t>4311-10004</t>
  </si>
  <si>
    <t>UTILIDAD CAMBIARIA</t>
  </si>
  <si>
    <t>5121-21101</t>
  </si>
  <si>
    <t>5122</t>
  </si>
  <si>
    <t>ALIMENTOS Y UTENSILIOS</t>
  </si>
  <si>
    <t>5122-22101</t>
  </si>
  <si>
    <t>5131-31401</t>
  </si>
  <si>
    <t>5133-33801</t>
  </si>
  <si>
    <t>8120-79-01-10004</t>
  </si>
  <si>
    <t>8140-79-01-10004</t>
  </si>
  <si>
    <t>8150-79-01-10004</t>
  </si>
  <si>
    <t>8240-14898-0101-02-33801-1</t>
  </si>
  <si>
    <t>8240-14898-0101-04-33801-1</t>
  </si>
  <si>
    <t>8240-14898-0101-07-33801-1</t>
  </si>
  <si>
    <t>8240-14898-0201-01-21101-1</t>
  </si>
  <si>
    <t>8240-14898-0201-01-22101-1</t>
  </si>
  <si>
    <t>8240-14898-0201-01-31401-1</t>
  </si>
  <si>
    <t>8240-14898-0201-01-35101-1</t>
  </si>
  <si>
    <t>8250-14898-0101-02-33801-1</t>
  </si>
  <si>
    <t>8250-14898-0101-04-33801-1</t>
  </si>
  <si>
    <t>8250-14898-0101-07-33801-1</t>
  </si>
  <si>
    <t>8250-14898-0201-01-21101-1</t>
  </si>
  <si>
    <t>8250-14898-0201-01-22101-1</t>
  </si>
  <si>
    <t>8250-14898-0201-01-31401-1</t>
  </si>
  <si>
    <t>8250-14898-0201-01-35101-1</t>
  </si>
  <si>
    <t>8260-14898-0101-02-33801-1</t>
  </si>
  <si>
    <t>8260-14898-0101-04-33801-1</t>
  </si>
  <si>
    <t>8260-14898-0101-07-33801-1</t>
  </si>
  <si>
    <t>8260-14898-0201-01-21101-1</t>
  </si>
  <si>
    <t>8260-14898-0201-01-22101-1</t>
  </si>
  <si>
    <t>8260-14898-0201-01-31401-1</t>
  </si>
  <si>
    <t>8260-14898-0201-01-35101-1</t>
  </si>
  <si>
    <t>8270-14898-0101-02-33801-1</t>
  </si>
  <si>
    <t>8270-14898-0101-04-33801-1</t>
  </si>
  <si>
    <t>8270-14898-0101-07-33801-1</t>
  </si>
  <si>
    <t>8270-14898-0201-01-21101-1</t>
  </si>
  <si>
    <t>8270-14898-0201-01-22101-1</t>
  </si>
  <si>
    <t>8270-14898-0201-01-31401-1</t>
  </si>
  <si>
    <t>8270-14898-0201-01-35101-1</t>
  </si>
  <si>
    <t>1122-11947</t>
  </si>
  <si>
    <t>METECNO SA DE CV</t>
  </si>
  <si>
    <t>1122-11998</t>
  </si>
  <si>
    <t>ARMANDO MALDONADO RAMOS</t>
  </si>
  <si>
    <t>1122-12002</t>
  </si>
  <si>
    <t>ITM INTERNACIONAL DE TECNOLOGIAS MEDICAS SA DE CV</t>
  </si>
  <si>
    <t>1122-12009</t>
  </si>
  <si>
    <t>DISEÑO Y CARPINTERIA JJ S DE RL DE CV</t>
  </si>
  <si>
    <t>1122-12022</t>
  </si>
  <si>
    <t>EL CAPITAN SA DE CV</t>
  </si>
  <si>
    <t>1122-12025</t>
  </si>
  <si>
    <t>SERPRO NURSING S DE RL DE CV</t>
  </si>
  <si>
    <t>1122-12027</t>
  </si>
  <si>
    <t>CASTLE METALS DE MEXICO SA DE CV</t>
  </si>
  <si>
    <t>1124-10008</t>
  </si>
  <si>
    <t>SALDO A FAV IVA MAR 2020</t>
  </si>
  <si>
    <t>2117-10004</t>
  </si>
  <si>
    <t>ISR RET AL 10% HONORARIOS</t>
  </si>
  <si>
    <t>4173-1-60001</t>
  </si>
  <si>
    <t>8140-73-1-60001</t>
  </si>
  <si>
    <t>8150-73-1-60001</t>
  </si>
  <si>
    <t>PROMOTORA PARA EL DESARROLLO ECONOMICO  DE CHIHUAHUA</t>
  </si>
  <si>
    <t>Operadora Futurama SA de CV</t>
  </si>
  <si>
    <t>Productos Chachitos S.A. de C.V.</t>
  </si>
  <si>
    <t>Servicio RG  SA de CV</t>
  </si>
  <si>
    <t>Cia de Telefonos y Bienes Raices S.A. de C.V.</t>
  </si>
  <si>
    <t>Arrendamientos Arma S.A. de C.V.</t>
  </si>
  <si>
    <t>Pavimentos de La Laguna  S.A. de C.V.</t>
  </si>
  <si>
    <t>Manyser Manufacturas y Servicios S.A. de C.V.</t>
  </si>
  <si>
    <t>Ingeneria y Diseno Van S.A. de C.V.</t>
  </si>
  <si>
    <t>IPC Chihuahua S.A. de C.V.</t>
  </si>
  <si>
    <t>American Beef S.A. de C.V.</t>
  </si>
  <si>
    <t>Cadisa S.A. de C.V.</t>
  </si>
  <si>
    <t>Pace Industries de Chihuahua II S.A. de CV</t>
  </si>
  <si>
    <t>Bachoco S.A. de C.V.</t>
  </si>
  <si>
    <t>Inmobiliaria Los Berrendos SA de CV</t>
  </si>
  <si>
    <t>AUTOFLETES CHIHUAHUA SA DE CV</t>
  </si>
  <si>
    <t>Banco Nacional de Mexico S.A.</t>
  </si>
  <si>
    <t>American Beef SA de CV</t>
  </si>
  <si>
    <t>Factoria Industrial SA de CV.</t>
  </si>
  <si>
    <t>Intermex Manufactura de Chihuahua SA CV</t>
  </si>
  <si>
    <t>BIO PAPPEL S.A.B. DE C.V.</t>
  </si>
  <si>
    <t>Tuban SA De CV</t>
  </si>
  <si>
    <t>Inmobiliaria Comercial Intermex S.A De C.V.</t>
  </si>
  <si>
    <t>Hermes´s y Asociados SA de CV</t>
  </si>
  <si>
    <t>Transportes Soto e Hijos S.A. De C.V.</t>
  </si>
  <si>
    <t>Parque Industrial Juarez SA de CV</t>
  </si>
  <si>
    <t>Banco del Bajío S.A.</t>
  </si>
  <si>
    <t>HELM DE MEXICO S.A.</t>
  </si>
  <si>
    <t>Servicios de Manufactura y Desarrollo SA de CV</t>
  </si>
  <si>
    <t>DISTRIBUIDORA DE CERVEZAS MODELO EN CHIHUAHUA SA DE CV</t>
  </si>
  <si>
    <t>Gala Diseño en Muebles SA de CV</t>
  </si>
  <si>
    <t>Centro de Servicios Metrologicos S de RL de CV</t>
  </si>
  <si>
    <t>Constructora y Proveedora Ferretodo SA de CV</t>
  </si>
  <si>
    <t>GEN INDUSTRIAL  S.A. DE C.V.</t>
  </si>
  <si>
    <t>David Velasco Martinez</t>
  </si>
  <si>
    <t>Grupo Pasan de Chihuahua S.A. de C.V.</t>
  </si>
  <si>
    <t>Pick-One S.A de C.V</t>
  </si>
  <si>
    <t>Maquinas Diesel S.A. de C.V.</t>
  </si>
  <si>
    <t>Servicios Gasolineros de México S.A. de C.V.</t>
  </si>
  <si>
    <t>AXTEL S.A.B. DE C.V.</t>
  </si>
  <si>
    <t>CONTINENTAL CONTITECH DE CHIHUAHUA</t>
  </si>
  <si>
    <t>Promotora de Microindustria de Chihuahua A.C.</t>
  </si>
  <si>
    <t>Oscar Moriel Villalobos</t>
  </si>
  <si>
    <t>Construcentro de Chihuahua, SA de CV</t>
  </si>
  <si>
    <t>Ana Cynthia Carmona Molina</t>
  </si>
  <si>
    <t>VIVE CORAZON A.C.</t>
  </si>
  <si>
    <t>Grupo Coanzamex SA de CV</t>
  </si>
  <si>
    <t>HONEYWELL  AEROSPACE DE MEXICO S DE RL DE CV</t>
  </si>
  <si>
    <t>VICTAULIC DE MEXICO S DE RL DE CV</t>
  </si>
  <si>
    <t>Maquilados Tecnicos S.A. de C.V.</t>
  </si>
  <si>
    <t>Davol Surgical Innovations S.A. de C.V.</t>
  </si>
  <si>
    <t>Supermercado Gonzalez de Altavista SA de CV</t>
  </si>
  <si>
    <t>Desarrollos Inmobiliarios Bermudez SA de CV</t>
  </si>
  <si>
    <t>LEONI CABLE S.A. DE C.V.</t>
  </si>
  <si>
    <t>Agroindustrial Miñaca SPR de RL de CV</t>
  </si>
  <si>
    <t>PROMOTORES MEXICANOS DE LA EDUCACION A.C.</t>
  </si>
  <si>
    <t>Kalisch Fierro y Acero S.A De C.V.</t>
  </si>
  <si>
    <t>ANTIGÚEDAD EN DÍAS</t>
  </si>
  <si>
    <t>CLIENTE</t>
  </si>
  <si>
    <t>RFC</t>
  </si>
  <si>
    <t>FACTURA</t>
  </si>
  <si>
    <t>ANTIGÜEDAD</t>
  </si>
  <si>
    <t>Grupo American Industries S.A De C.V.</t>
  </si>
  <si>
    <t>GAI020902FG4</t>
  </si>
  <si>
    <t>CVC980707HU0</t>
  </si>
  <si>
    <t>LCA981211QN0</t>
  </si>
  <si>
    <t>Praxair Mexico S. de R.L. de C.V.</t>
  </si>
  <si>
    <t>PME960701GG0</t>
  </si>
  <si>
    <t>GCO1104048N6</t>
  </si>
  <si>
    <t>PMC001121IQ8</t>
  </si>
  <si>
    <t xml:space="preserve">B91020     </t>
  </si>
  <si>
    <t>VCO151218LY0</t>
  </si>
  <si>
    <t>PMA140123BP9</t>
  </si>
  <si>
    <t>TBR240927363</t>
  </si>
  <si>
    <t>GCO820210EJ3</t>
  </si>
  <si>
    <t>CCI850121EY7</t>
  </si>
  <si>
    <t>PIJ8612038Y4</t>
  </si>
  <si>
    <t xml:space="preserve">B90990     </t>
  </si>
  <si>
    <t xml:space="preserve">B90989     </t>
  </si>
  <si>
    <t>BAC800208B25</t>
  </si>
  <si>
    <t>NME900531HM0</t>
  </si>
  <si>
    <t>AAR940920UP7</t>
  </si>
  <si>
    <t xml:space="preserve">Desarrollo de Ingenieria y Contratacion SA de </t>
  </si>
  <si>
    <t>DIC050715F55</t>
  </si>
  <si>
    <t>SASH700610RH2</t>
  </si>
  <si>
    <t xml:space="preserve">B90970     </t>
  </si>
  <si>
    <t>MAZ8111185X2</t>
  </si>
  <si>
    <t>HAM791206MF9</t>
  </si>
  <si>
    <t>VME0608303J3</t>
  </si>
  <si>
    <t>POM860804GB9</t>
  </si>
  <si>
    <t>ITM INTERNACIONAL DE TECNOLOGIAS MEDICAS SA DE</t>
  </si>
  <si>
    <t>IIT0408125Y2</t>
  </si>
  <si>
    <t xml:space="preserve">B90954     </t>
  </si>
  <si>
    <t>Superior Industries de Mexico S.de R.L. de C.V</t>
  </si>
  <si>
    <t>SIM9305047S8</t>
  </si>
  <si>
    <t>OFU910626UQ0</t>
  </si>
  <si>
    <t>PCA8402024P8</t>
  </si>
  <si>
    <t>SRG070707BI4</t>
  </si>
  <si>
    <t>ICI941007US1</t>
  </si>
  <si>
    <t xml:space="preserve">B90782     </t>
  </si>
  <si>
    <t>IBE971013ES2</t>
  </si>
  <si>
    <t>FIN000317UN8</t>
  </si>
  <si>
    <t>PAMJ7112159M2</t>
  </si>
  <si>
    <t xml:space="preserve">B90801     </t>
  </si>
  <si>
    <t>HSA980211GY9</t>
  </si>
  <si>
    <t>Durabox de Chihuahua S.A. De C.V</t>
  </si>
  <si>
    <t>DCI041005TW2</t>
  </si>
  <si>
    <t>Bimbo S.A de C.V.</t>
  </si>
  <si>
    <t>BIM011108DJ5</t>
  </si>
  <si>
    <t xml:space="preserve">B90819     </t>
  </si>
  <si>
    <t>BBA940707IE1</t>
  </si>
  <si>
    <t>LERA810305LL6</t>
  </si>
  <si>
    <t>AME070212I8A</t>
  </si>
  <si>
    <t>CSM101110IX7</t>
  </si>
  <si>
    <t xml:space="preserve">B90760     </t>
  </si>
  <si>
    <t>HIS980213BS3</t>
  </si>
  <si>
    <t>PIC1405138B9</t>
  </si>
  <si>
    <t xml:space="preserve">B90876     </t>
  </si>
  <si>
    <t>VIA950904ED8</t>
  </si>
  <si>
    <t>APO960307KYA</t>
  </si>
  <si>
    <t>MOVO730331PV9</t>
  </si>
  <si>
    <t>COS850425822</t>
  </si>
  <si>
    <t>Diseño y Carpinteria J&amp;J, S de R.L. de C.V.</t>
  </si>
  <si>
    <t>DCJ180131KH4</t>
  </si>
  <si>
    <t xml:space="preserve">B90844     </t>
  </si>
  <si>
    <t>SGA921026CI5</t>
  </si>
  <si>
    <t xml:space="preserve">B90743     </t>
  </si>
  <si>
    <t xml:space="preserve">B90744     </t>
  </si>
  <si>
    <t>AMI091014MMA</t>
  </si>
  <si>
    <t>PME8811055G6</t>
  </si>
  <si>
    <t xml:space="preserve">B90753     </t>
  </si>
  <si>
    <t>FMO8304236C5</t>
  </si>
  <si>
    <t xml:space="preserve">B90633     </t>
  </si>
  <si>
    <t xml:space="preserve">B90634     </t>
  </si>
  <si>
    <t xml:space="preserve">B90635     </t>
  </si>
  <si>
    <t>MMS960704D98</t>
  </si>
  <si>
    <t>ABE9209026D2</t>
  </si>
  <si>
    <t>CAD980115AN5</t>
  </si>
  <si>
    <t>PIC080414U82</t>
  </si>
  <si>
    <t>SGA051014K34</t>
  </si>
  <si>
    <t>IMC9809178I2</t>
  </si>
  <si>
    <t>CDU820122JFA</t>
  </si>
  <si>
    <t>Pactiv Mexico S. De R.L. DE C.V.</t>
  </si>
  <si>
    <t>PME971105VC9</t>
  </si>
  <si>
    <t>TSH9906021H9</t>
  </si>
  <si>
    <t>GEC981004RE5</t>
  </si>
  <si>
    <t>GDM9610245G9</t>
  </si>
  <si>
    <t>GPC140812UQ3</t>
  </si>
  <si>
    <t>MDI931014D37</t>
  </si>
  <si>
    <t>TECNOCEREALES COMERCIALES S DE RLMI</t>
  </si>
  <si>
    <t>TCO991217RI3</t>
  </si>
  <si>
    <t>ZEED870312HI0</t>
  </si>
  <si>
    <t xml:space="preserve">B90573     </t>
  </si>
  <si>
    <t xml:space="preserve">B90572     </t>
  </si>
  <si>
    <t xml:space="preserve">B90568     </t>
  </si>
  <si>
    <t>DSI9707028J1</t>
  </si>
  <si>
    <t xml:space="preserve">B90549     </t>
  </si>
  <si>
    <t xml:space="preserve">B90550     </t>
  </si>
  <si>
    <t xml:space="preserve">B90551     </t>
  </si>
  <si>
    <t xml:space="preserve">B90552     </t>
  </si>
  <si>
    <t xml:space="preserve">B90553     </t>
  </si>
  <si>
    <t>IND040130V62</t>
  </si>
  <si>
    <t xml:space="preserve">B90458     </t>
  </si>
  <si>
    <t>PORC78062672A</t>
  </si>
  <si>
    <t xml:space="preserve">B90495     </t>
  </si>
  <si>
    <t xml:space="preserve">B90385     </t>
  </si>
  <si>
    <t xml:space="preserve">B90386     </t>
  </si>
  <si>
    <t xml:space="preserve">B90364     </t>
  </si>
  <si>
    <t xml:space="preserve">B90216     </t>
  </si>
  <si>
    <t xml:space="preserve">B90299     </t>
  </si>
  <si>
    <t xml:space="preserve">B90313     </t>
  </si>
  <si>
    <t>SGM950714DC2</t>
  </si>
  <si>
    <t xml:space="preserve">B90128     </t>
  </si>
  <si>
    <t>LOOL691019LW3</t>
  </si>
  <si>
    <t xml:space="preserve">B90124     </t>
  </si>
  <si>
    <t xml:space="preserve">B90111     </t>
  </si>
  <si>
    <t xml:space="preserve">B90107     </t>
  </si>
  <si>
    <t xml:space="preserve">B90119     </t>
  </si>
  <si>
    <t>ICI031210FY5</t>
  </si>
  <si>
    <t xml:space="preserve">B90092     </t>
  </si>
  <si>
    <t xml:space="preserve">B90087     </t>
  </si>
  <si>
    <t xml:space="preserve">B90067     </t>
  </si>
  <si>
    <t xml:space="preserve">Deutsche Bank Mexico Sociedad Anonima </t>
  </si>
  <si>
    <t>DBM121023M10</t>
  </si>
  <si>
    <t xml:space="preserve">B90017     </t>
  </si>
  <si>
    <t>FCD1409249V9</t>
  </si>
  <si>
    <t xml:space="preserve">B89971     </t>
  </si>
  <si>
    <t xml:space="preserve">B89959     </t>
  </si>
  <si>
    <t xml:space="preserve">B89789     </t>
  </si>
  <si>
    <t xml:space="preserve">B89837     </t>
  </si>
  <si>
    <t xml:space="preserve">B89842     </t>
  </si>
  <si>
    <t>RESIDEO MANUFACTURAS DE CHIHUAHUA S de R.L. de</t>
  </si>
  <si>
    <t>HMC921013H10</t>
  </si>
  <si>
    <t xml:space="preserve">B89784     </t>
  </si>
  <si>
    <t xml:space="preserve">B89858     </t>
  </si>
  <si>
    <t xml:space="preserve">B89873     </t>
  </si>
  <si>
    <t xml:space="preserve">B89920     </t>
  </si>
  <si>
    <t xml:space="preserve">B89911     </t>
  </si>
  <si>
    <t xml:space="preserve">B89671     </t>
  </si>
  <si>
    <t xml:space="preserve">B89672     </t>
  </si>
  <si>
    <t xml:space="preserve">B89372     </t>
  </si>
  <si>
    <t xml:space="preserve">B89469     </t>
  </si>
  <si>
    <t xml:space="preserve">B89488     </t>
  </si>
  <si>
    <t xml:space="preserve">DISTRIBUIDORA DE CERVEZAS MODELO EN CHIHUAHUA </t>
  </si>
  <si>
    <t>DCM800122B71</t>
  </si>
  <si>
    <t xml:space="preserve">B89512     </t>
  </si>
  <si>
    <t>VEMD630823HJ6</t>
  </si>
  <si>
    <t xml:space="preserve">B89537     </t>
  </si>
  <si>
    <t xml:space="preserve">B89389     </t>
  </si>
  <si>
    <t xml:space="preserve">B89334     </t>
  </si>
  <si>
    <t xml:space="preserve">B89415     </t>
  </si>
  <si>
    <t>TEWH880527D67</t>
  </si>
  <si>
    <t xml:space="preserve">B89555     </t>
  </si>
  <si>
    <t xml:space="preserve">B89437     </t>
  </si>
  <si>
    <t xml:space="preserve">B89625     </t>
  </si>
  <si>
    <t xml:space="preserve">B89245     </t>
  </si>
  <si>
    <t xml:space="preserve">B89200     </t>
  </si>
  <si>
    <t xml:space="preserve">B89133     </t>
  </si>
  <si>
    <t xml:space="preserve">B89146     </t>
  </si>
  <si>
    <t>TSJ130214J79</t>
  </si>
  <si>
    <t xml:space="preserve">B89157     </t>
  </si>
  <si>
    <t xml:space="preserve">B89103     </t>
  </si>
  <si>
    <t xml:space="preserve">B88854     </t>
  </si>
  <si>
    <t>BNM840515VB1</t>
  </si>
  <si>
    <t xml:space="preserve">B88927     </t>
  </si>
  <si>
    <t xml:space="preserve">B88935     </t>
  </si>
  <si>
    <t>Instituto de apoyo al desarrollo Tecnologico</t>
  </si>
  <si>
    <t>IAD990630MK7</t>
  </si>
  <si>
    <t xml:space="preserve">B88943     </t>
  </si>
  <si>
    <t xml:space="preserve">B88873     </t>
  </si>
  <si>
    <t xml:space="preserve">B89017     </t>
  </si>
  <si>
    <t xml:space="preserve">B88824     </t>
  </si>
  <si>
    <t>ADEMCO COMERCIAL Y CENTRO DE INVESTIGACION Y D</t>
  </si>
  <si>
    <t>ACC180413V63</t>
  </si>
  <si>
    <t xml:space="preserve">B88779     </t>
  </si>
  <si>
    <t xml:space="preserve">B88750     </t>
  </si>
  <si>
    <t xml:space="preserve">B88702     </t>
  </si>
  <si>
    <t xml:space="preserve">B88683     </t>
  </si>
  <si>
    <t xml:space="preserve">B88738     </t>
  </si>
  <si>
    <t xml:space="preserve">B88725     </t>
  </si>
  <si>
    <t xml:space="preserve">B88615     </t>
  </si>
  <si>
    <t xml:space="preserve">B88623     </t>
  </si>
  <si>
    <t xml:space="preserve">B88624     </t>
  </si>
  <si>
    <t xml:space="preserve">B88503     </t>
  </si>
  <si>
    <t xml:space="preserve">B88411     </t>
  </si>
  <si>
    <t xml:space="preserve">B88350     </t>
  </si>
  <si>
    <t xml:space="preserve">B88358     </t>
  </si>
  <si>
    <t xml:space="preserve">B88330     </t>
  </si>
  <si>
    <t>MTE850809NF8</t>
  </si>
  <si>
    <t xml:space="preserve">B88321     </t>
  </si>
  <si>
    <t xml:space="preserve">B88299     </t>
  </si>
  <si>
    <t xml:space="preserve">B88210     </t>
  </si>
  <si>
    <t xml:space="preserve">B88138     </t>
  </si>
  <si>
    <t xml:space="preserve">B88007     </t>
  </si>
  <si>
    <t xml:space="preserve">B87931     </t>
  </si>
  <si>
    <t xml:space="preserve">B87916     </t>
  </si>
  <si>
    <t xml:space="preserve">B87927     </t>
  </si>
  <si>
    <t>CAMA7405292D4</t>
  </si>
  <si>
    <t xml:space="preserve">B87906     </t>
  </si>
  <si>
    <t xml:space="preserve">B87822     </t>
  </si>
  <si>
    <t xml:space="preserve">B87869     </t>
  </si>
  <si>
    <t xml:space="preserve">B87723     </t>
  </si>
  <si>
    <t>GAM870821NP6</t>
  </si>
  <si>
    <t xml:space="preserve">B87786     </t>
  </si>
  <si>
    <t xml:space="preserve">B87631     </t>
  </si>
  <si>
    <t xml:space="preserve">B87562     </t>
  </si>
  <si>
    <t xml:space="preserve">B87533     </t>
  </si>
  <si>
    <t xml:space="preserve">B87516     </t>
  </si>
  <si>
    <t xml:space="preserve">B87486     </t>
  </si>
  <si>
    <t xml:space="preserve">B87341     </t>
  </si>
  <si>
    <t xml:space="preserve">B87336     </t>
  </si>
  <si>
    <t xml:space="preserve">B87319     </t>
  </si>
  <si>
    <t xml:space="preserve">B87128     </t>
  </si>
  <si>
    <t xml:space="preserve">B87171     </t>
  </si>
  <si>
    <t xml:space="preserve">B87111     </t>
  </si>
  <si>
    <t xml:space="preserve">B86867     </t>
  </si>
  <si>
    <t xml:space="preserve">B86822     </t>
  </si>
  <si>
    <t xml:space="preserve">B86422     </t>
  </si>
  <si>
    <t xml:space="preserve">B86377     </t>
  </si>
  <si>
    <t xml:space="preserve">B86185     </t>
  </si>
  <si>
    <t xml:space="preserve">B86186     </t>
  </si>
  <si>
    <t xml:space="preserve">B86102     </t>
  </si>
  <si>
    <t xml:space="preserve">B86058     </t>
  </si>
  <si>
    <t xml:space="preserve">B86059     </t>
  </si>
  <si>
    <t xml:space="preserve">B86042     </t>
  </si>
  <si>
    <t xml:space="preserve">B85976     </t>
  </si>
  <si>
    <t xml:space="preserve">B85884     </t>
  </si>
  <si>
    <t xml:space="preserve">B85766     </t>
  </si>
  <si>
    <t xml:space="preserve">B79719     </t>
  </si>
  <si>
    <t xml:space="preserve">B85660     </t>
  </si>
  <si>
    <t xml:space="preserve">B81093     </t>
  </si>
  <si>
    <t xml:space="preserve">B85557     </t>
  </si>
  <si>
    <t xml:space="preserve">B85546     </t>
  </si>
  <si>
    <t>KFA8112226Z6</t>
  </si>
  <si>
    <t xml:space="preserve">B85303     </t>
  </si>
  <si>
    <t xml:space="preserve">B85273     </t>
  </si>
  <si>
    <t xml:space="preserve">B85243     </t>
  </si>
  <si>
    <t xml:space="preserve">B85160     </t>
  </si>
  <si>
    <t xml:space="preserve">B85221     </t>
  </si>
  <si>
    <t xml:space="preserve">B85225     </t>
  </si>
  <si>
    <t xml:space="preserve">B85132     </t>
  </si>
  <si>
    <t xml:space="preserve">B85101     </t>
  </si>
  <si>
    <t xml:space="preserve">B85096     </t>
  </si>
  <si>
    <t xml:space="preserve">B84941     </t>
  </si>
  <si>
    <t xml:space="preserve">B84808     </t>
  </si>
  <si>
    <t xml:space="preserve">B84837     </t>
  </si>
  <si>
    <t xml:space="preserve">B84729     </t>
  </si>
  <si>
    <t xml:space="preserve">B84724     </t>
  </si>
  <si>
    <t xml:space="preserve">B84665     </t>
  </si>
  <si>
    <t xml:space="preserve">B84649     </t>
  </si>
  <si>
    <t xml:space="preserve">B84632     </t>
  </si>
  <si>
    <t xml:space="preserve">B84631     </t>
  </si>
  <si>
    <t xml:space="preserve">B84590     </t>
  </si>
  <si>
    <t xml:space="preserve">B84589     </t>
  </si>
  <si>
    <t xml:space="preserve">B84334     </t>
  </si>
  <si>
    <t>EUTL680220CW6</t>
  </si>
  <si>
    <t xml:space="preserve">B84367     </t>
  </si>
  <si>
    <t xml:space="preserve">B84418     </t>
  </si>
  <si>
    <t xml:space="preserve">B84270     </t>
  </si>
  <si>
    <t xml:space="preserve">B84254     </t>
  </si>
  <si>
    <t xml:space="preserve">B84255     </t>
  </si>
  <si>
    <t xml:space="preserve">B84256     </t>
  </si>
  <si>
    <t xml:space="preserve">B84216     </t>
  </si>
  <si>
    <t xml:space="preserve">B84273     </t>
  </si>
  <si>
    <t xml:space="preserve">B84274     </t>
  </si>
  <si>
    <t xml:space="preserve">B84275     </t>
  </si>
  <si>
    <t xml:space="preserve">B84229     </t>
  </si>
  <si>
    <t xml:space="preserve">B84175     </t>
  </si>
  <si>
    <t xml:space="preserve">B84176     </t>
  </si>
  <si>
    <t xml:space="preserve">B83970     </t>
  </si>
  <si>
    <t xml:space="preserve">B83867     </t>
  </si>
  <si>
    <t xml:space="preserve">B83876     </t>
  </si>
  <si>
    <t xml:space="preserve">B83820     </t>
  </si>
  <si>
    <t xml:space="preserve">B83821     </t>
  </si>
  <si>
    <t xml:space="preserve">B83822     </t>
  </si>
  <si>
    <t xml:space="preserve">B83803     </t>
  </si>
  <si>
    <t xml:space="preserve">B83754     </t>
  </si>
  <si>
    <t xml:space="preserve">B83692     </t>
  </si>
  <si>
    <t xml:space="preserve">B83550     </t>
  </si>
  <si>
    <t xml:space="preserve">B83551     </t>
  </si>
  <si>
    <t xml:space="preserve">B83549     </t>
  </si>
  <si>
    <t xml:space="preserve">B83530     </t>
  </si>
  <si>
    <t xml:space="preserve">B83472     </t>
  </si>
  <si>
    <t>Instituto de Apoyo al Desarrollo Tecnologico</t>
  </si>
  <si>
    <t xml:space="preserve">B83461     </t>
  </si>
  <si>
    <t xml:space="preserve">B83462     </t>
  </si>
  <si>
    <t xml:space="preserve">B83463     </t>
  </si>
  <si>
    <t>Distribuidora de Maquinaria del Norte S. A. de</t>
  </si>
  <si>
    <t>DMN0110295P6</t>
  </si>
  <si>
    <t xml:space="preserve">B83466     </t>
  </si>
  <si>
    <t xml:space="preserve">B83430     </t>
  </si>
  <si>
    <t xml:space="preserve">B83400     </t>
  </si>
  <si>
    <t>HME660303531</t>
  </si>
  <si>
    <t xml:space="preserve">B83429     </t>
  </si>
  <si>
    <t xml:space="preserve">B83441     </t>
  </si>
  <si>
    <t xml:space="preserve">B83432     </t>
  </si>
  <si>
    <t xml:space="preserve">Administración y Consultorías de Chihuahua SA </t>
  </si>
  <si>
    <t>ACC061005TY1</t>
  </si>
  <si>
    <t xml:space="preserve">B80767     </t>
  </si>
  <si>
    <t>AXT940727FP8</t>
  </si>
  <si>
    <t xml:space="preserve">B83374     </t>
  </si>
  <si>
    <t xml:space="preserve">B82613     </t>
  </si>
  <si>
    <t xml:space="preserve">B82573     </t>
  </si>
  <si>
    <t>TUB8610276C8</t>
  </si>
  <si>
    <t xml:space="preserve">B83012     </t>
  </si>
  <si>
    <t xml:space="preserve">B82928     </t>
  </si>
  <si>
    <t xml:space="preserve">B83053     </t>
  </si>
  <si>
    <t xml:space="preserve">B83064     </t>
  </si>
  <si>
    <t>CPF860424UB7</t>
  </si>
  <si>
    <t xml:space="preserve">B83021     </t>
  </si>
  <si>
    <t xml:space="preserve">B82948     </t>
  </si>
  <si>
    <t xml:space="preserve">B82869     </t>
  </si>
  <si>
    <t xml:space="preserve">B82533     </t>
  </si>
  <si>
    <t xml:space="preserve">B82670     </t>
  </si>
  <si>
    <t xml:space="preserve">B82586     </t>
  </si>
  <si>
    <t xml:space="preserve">B82484     </t>
  </si>
  <si>
    <t xml:space="preserve">B82568     </t>
  </si>
  <si>
    <t xml:space="preserve">B82567     </t>
  </si>
  <si>
    <t xml:space="preserve">B82566     </t>
  </si>
  <si>
    <t xml:space="preserve">B82448     </t>
  </si>
  <si>
    <t xml:space="preserve">B82449     </t>
  </si>
  <si>
    <t xml:space="preserve">B82310     </t>
  </si>
  <si>
    <t xml:space="preserve">B82150     </t>
  </si>
  <si>
    <t xml:space="preserve">B82228     </t>
  </si>
  <si>
    <t xml:space="preserve">B82061     </t>
  </si>
  <si>
    <t xml:space="preserve">B82051     </t>
  </si>
  <si>
    <t xml:space="preserve">B82118     </t>
  </si>
  <si>
    <t xml:space="preserve">B82030     </t>
  </si>
  <si>
    <t xml:space="preserve">B81656     </t>
  </si>
  <si>
    <t xml:space="preserve">B81729     </t>
  </si>
  <si>
    <t xml:space="preserve">B81659     </t>
  </si>
  <si>
    <t xml:space="preserve">B81660     </t>
  </si>
  <si>
    <t xml:space="preserve">B81768     </t>
  </si>
  <si>
    <t xml:space="preserve">B81633     </t>
  </si>
  <si>
    <t>SMD030131V74</t>
  </si>
  <si>
    <t xml:space="preserve">B81467     </t>
  </si>
  <si>
    <t xml:space="preserve">B81468     </t>
  </si>
  <si>
    <t xml:space="preserve">B79489     </t>
  </si>
  <si>
    <t xml:space="preserve">B80108     </t>
  </si>
  <si>
    <t xml:space="preserve">B76359     </t>
  </si>
  <si>
    <t xml:space="preserve">B80143     </t>
  </si>
  <si>
    <t>PLA520109Q36</t>
  </si>
  <si>
    <t xml:space="preserve">B61900     </t>
  </si>
  <si>
    <t xml:space="preserve">B69200     </t>
  </si>
  <si>
    <t xml:space="preserve">B72500     </t>
  </si>
  <si>
    <t xml:space="preserve">B59556     </t>
  </si>
  <si>
    <t xml:space="preserve">B60222     </t>
  </si>
  <si>
    <t xml:space="preserve">B60223     </t>
  </si>
  <si>
    <t xml:space="preserve">B60527     </t>
  </si>
  <si>
    <t xml:space="preserve">B60528     </t>
  </si>
  <si>
    <t xml:space="preserve">B60529     </t>
  </si>
  <si>
    <t xml:space="preserve">B60923     </t>
  </si>
  <si>
    <t xml:space="preserve">B60924     </t>
  </si>
  <si>
    <t xml:space="preserve">B60925     </t>
  </si>
  <si>
    <t xml:space="preserve">B61224     </t>
  </si>
  <si>
    <t xml:space="preserve">B61225     </t>
  </si>
  <si>
    <t xml:space="preserve">B61226     </t>
  </si>
  <si>
    <t xml:space="preserve">B61527     </t>
  </si>
  <si>
    <t xml:space="preserve">B61528     </t>
  </si>
  <si>
    <t xml:space="preserve">B61529     </t>
  </si>
  <si>
    <t xml:space="preserve">B61898     </t>
  </si>
  <si>
    <t xml:space="preserve">B61899     </t>
  </si>
  <si>
    <t xml:space="preserve">B62332     </t>
  </si>
  <si>
    <t xml:space="preserve">B62333     </t>
  </si>
  <si>
    <t xml:space="preserve">B62334     </t>
  </si>
  <si>
    <t xml:space="preserve">B62659     </t>
  </si>
  <si>
    <t xml:space="preserve">B62660     </t>
  </si>
  <si>
    <t xml:space="preserve">B62661     </t>
  </si>
  <si>
    <t xml:space="preserve">B62991     </t>
  </si>
  <si>
    <t xml:space="preserve">B62992     </t>
  </si>
  <si>
    <t xml:space="preserve">B62993     </t>
  </si>
  <si>
    <t xml:space="preserve">B63304     </t>
  </si>
  <si>
    <t xml:space="preserve">B63305     </t>
  </si>
  <si>
    <t xml:space="preserve">B63306     </t>
  </si>
  <si>
    <t xml:space="preserve">B63659     </t>
  </si>
  <si>
    <t xml:space="preserve">B63660     </t>
  </si>
  <si>
    <t xml:space="preserve">B63661     </t>
  </si>
  <si>
    <t xml:space="preserve">B63990     </t>
  </si>
  <si>
    <t xml:space="preserve">B63991     </t>
  </si>
  <si>
    <t xml:space="preserve">B63992     </t>
  </si>
  <si>
    <t xml:space="preserve">B64350     </t>
  </si>
  <si>
    <t xml:space="preserve">B64351     </t>
  </si>
  <si>
    <t xml:space="preserve">B64352     </t>
  </si>
  <si>
    <t xml:space="preserve">B64715     </t>
  </si>
  <si>
    <t xml:space="preserve">B64716     </t>
  </si>
  <si>
    <t xml:space="preserve">B64717     </t>
  </si>
  <si>
    <t xml:space="preserve">B65137     </t>
  </si>
  <si>
    <t xml:space="preserve">B65138     </t>
  </si>
  <si>
    <t xml:space="preserve">B65139     </t>
  </si>
  <si>
    <t xml:space="preserve">B65422     </t>
  </si>
  <si>
    <t xml:space="preserve">B65423     </t>
  </si>
  <si>
    <t xml:space="preserve">B65424     </t>
  </si>
  <si>
    <t xml:space="preserve">B65776     </t>
  </si>
  <si>
    <t xml:space="preserve">B65777     </t>
  </si>
  <si>
    <t xml:space="preserve">B65778     </t>
  </si>
  <si>
    <t xml:space="preserve">B66151     </t>
  </si>
  <si>
    <t xml:space="preserve">B66152     </t>
  </si>
  <si>
    <t xml:space="preserve">B66153     </t>
  </si>
  <si>
    <t xml:space="preserve">B66612     </t>
  </si>
  <si>
    <t xml:space="preserve">B66613     </t>
  </si>
  <si>
    <t xml:space="preserve">B66614     </t>
  </si>
  <si>
    <t xml:space="preserve">B66972     </t>
  </si>
  <si>
    <t xml:space="preserve">B66973     </t>
  </si>
  <si>
    <t xml:space="preserve">B66974     </t>
  </si>
  <si>
    <t xml:space="preserve">B67322     </t>
  </si>
  <si>
    <t xml:space="preserve">B67323     </t>
  </si>
  <si>
    <t xml:space="preserve">B67324     </t>
  </si>
  <si>
    <t xml:space="preserve">B67720     </t>
  </si>
  <si>
    <t xml:space="preserve">B67721     </t>
  </si>
  <si>
    <t xml:space="preserve">B67722     </t>
  </si>
  <si>
    <t xml:space="preserve">B68121     </t>
  </si>
  <si>
    <t xml:space="preserve">B68122     </t>
  </si>
  <si>
    <t xml:space="preserve">B68123     </t>
  </si>
  <si>
    <t xml:space="preserve">B68474     </t>
  </si>
  <si>
    <t xml:space="preserve">B68475     </t>
  </si>
  <si>
    <t xml:space="preserve">B68476     </t>
  </si>
  <si>
    <t xml:space="preserve">B68853     </t>
  </si>
  <si>
    <t xml:space="preserve">B68854     </t>
  </si>
  <si>
    <t xml:space="preserve">B68855     </t>
  </si>
  <si>
    <t xml:space="preserve">B69201     </t>
  </si>
  <si>
    <t xml:space="preserve">B69202     </t>
  </si>
  <si>
    <t xml:space="preserve">B69609     </t>
  </si>
  <si>
    <t xml:space="preserve">B69610     </t>
  </si>
  <si>
    <t xml:space="preserve">B69611     </t>
  </si>
  <si>
    <t xml:space="preserve">B70029     </t>
  </si>
  <si>
    <t xml:space="preserve">B70030     </t>
  </si>
  <si>
    <t xml:space="preserve">B70031     </t>
  </si>
  <si>
    <t xml:space="preserve">B70408     </t>
  </si>
  <si>
    <t xml:space="preserve">B70409     </t>
  </si>
  <si>
    <t xml:space="preserve">B70410     </t>
  </si>
  <si>
    <t xml:space="preserve">B70797     </t>
  </si>
  <si>
    <t xml:space="preserve">B70799     </t>
  </si>
  <si>
    <t xml:space="preserve">B71066     </t>
  </si>
  <si>
    <t xml:space="preserve">B71189     </t>
  </si>
  <si>
    <t xml:space="preserve">B71190     </t>
  </si>
  <si>
    <t xml:space="preserve">B71191     </t>
  </si>
  <si>
    <t xml:space="preserve">B71666     </t>
  </si>
  <si>
    <t xml:space="preserve">B71667     </t>
  </si>
  <si>
    <t xml:space="preserve">B71668     </t>
  </si>
  <si>
    <t xml:space="preserve">B72089     </t>
  </si>
  <si>
    <t xml:space="preserve">B72090     </t>
  </si>
  <si>
    <t xml:space="preserve">B72091     </t>
  </si>
  <si>
    <t xml:space="preserve">B72498     </t>
  </si>
  <si>
    <t xml:space="preserve">B72499     </t>
  </si>
  <si>
    <t xml:space="preserve">B79315     </t>
  </si>
  <si>
    <t xml:space="preserve">B79316     </t>
  </si>
  <si>
    <t xml:space="preserve">B79317     </t>
  </si>
  <si>
    <t xml:space="preserve">B79318     </t>
  </si>
  <si>
    <t>IDV861118BNA</t>
  </si>
  <si>
    <t xml:space="preserve">B80558     </t>
  </si>
  <si>
    <t xml:space="preserve">B79801     </t>
  </si>
  <si>
    <t xml:space="preserve">B79802     </t>
  </si>
  <si>
    <t xml:space="preserve">B80360     </t>
  </si>
  <si>
    <t xml:space="preserve">B69647     </t>
  </si>
  <si>
    <t>ACI990518124</t>
  </si>
  <si>
    <t xml:space="preserve">B61586     </t>
  </si>
  <si>
    <t xml:space="preserve">B75756     </t>
  </si>
  <si>
    <t xml:space="preserve">B75769     </t>
  </si>
  <si>
    <t xml:space="preserve">B77373     </t>
  </si>
  <si>
    <t xml:space="preserve">B73546     </t>
  </si>
  <si>
    <t xml:space="preserve">B73910     </t>
  </si>
  <si>
    <t xml:space="preserve">B78539     </t>
  </si>
  <si>
    <t xml:space="preserve">B78932     </t>
  </si>
  <si>
    <t xml:space="preserve">B79280     </t>
  </si>
  <si>
    <t xml:space="preserve">B79283     </t>
  </si>
  <si>
    <t xml:space="preserve">B79384     </t>
  </si>
  <si>
    <t xml:space="preserve">B76025     </t>
  </si>
  <si>
    <t xml:space="preserve">B76486     </t>
  </si>
  <si>
    <t xml:space="preserve">B76901     </t>
  </si>
  <si>
    <t xml:space="preserve">B77797     </t>
  </si>
  <si>
    <t xml:space="preserve">B77798     </t>
  </si>
  <si>
    <t xml:space="preserve">B78440     </t>
  </si>
  <si>
    <t xml:space="preserve">B78441     </t>
  </si>
  <si>
    <t xml:space="preserve">B79114     </t>
  </si>
  <si>
    <t xml:space="preserve">B79418     </t>
  </si>
  <si>
    <t xml:space="preserve">B79838     </t>
  </si>
  <si>
    <t xml:space="preserve">B80250     </t>
  </si>
  <si>
    <t xml:space="preserve">B80895     </t>
  </si>
  <si>
    <t xml:space="preserve">B81320     </t>
  </si>
  <si>
    <t xml:space="preserve">B76565     </t>
  </si>
  <si>
    <t xml:space="preserve">B80603     </t>
  </si>
  <si>
    <t xml:space="preserve">B78888     </t>
  </si>
  <si>
    <t xml:space="preserve">B79625     </t>
  </si>
  <si>
    <t xml:space="preserve">B74516     </t>
  </si>
  <si>
    <t xml:space="preserve">B76419     </t>
  </si>
  <si>
    <t xml:space="preserve">B76810     </t>
  </si>
  <si>
    <t xml:space="preserve">B77201     </t>
  </si>
  <si>
    <t xml:space="preserve">B77606     </t>
  </si>
  <si>
    <t xml:space="preserve">B77774     </t>
  </si>
  <si>
    <t xml:space="preserve">B77971     </t>
  </si>
  <si>
    <t xml:space="preserve">B78363     </t>
  </si>
  <si>
    <t xml:space="preserve">B78763     </t>
  </si>
  <si>
    <t xml:space="preserve">B78950     </t>
  </si>
  <si>
    <t xml:space="preserve">B78774     </t>
  </si>
  <si>
    <t xml:space="preserve">B79937     </t>
  </si>
  <si>
    <t>FFX130619CVA</t>
  </si>
  <si>
    <t>STU750101H22</t>
  </si>
  <si>
    <t xml:space="preserve">B80098     </t>
  </si>
  <si>
    <t xml:space="preserve">B80842     </t>
  </si>
  <si>
    <t>GIN811027SS4</t>
  </si>
  <si>
    <t xml:space="preserve">B80022     </t>
  </si>
  <si>
    <t xml:space="preserve">B80023     </t>
  </si>
  <si>
    <t>EOS120326Q54</t>
  </si>
  <si>
    <t xml:space="preserve">B78036     </t>
  </si>
  <si>
    <t xml:space="preserve">B78426     </t>
  </si>
  <si>
    <t xml:space="preserve">B74218     </t>
  </si>
  <si>
    <t xml:space="preserve">B74219     </t>
  </si>
  <si>
    <t xml:space="preserve">B75411     </t>
  </si>
  <si>
    <t xml:space="preserve">B75716     </t>
  </si>
  <si>
    <t xml:space="preserve">B76898     </t>
  </si>
  <si>
    <t xml:space="preserve">B76899     </t>
  </si>
  <si>
    <t xml:space="preserve">B77270     </t>
  </si>
  <si>
    <t xml:space="preserve">B79860     </t>
  </si>
  <si>
    <t xml:space="preserve">B80893     </t>
  </si>
  <si>
    <t xml:space="preserve">B81305     </t>
  </si>
  <si>
    <t xml:space="preserve">B80401     </t>
  </si>
  <si>
    <t xml:space="preserve">B80402     </t>
  </si>
  <si>
    <t xml:space="preserve">B73454     </t>
  </si>
  <si>
    <t xml:space="preserve">B80453     </t>
  </si>
  <si>
    <t xml:space="preserve">B78919     </t>
  </si>
  <si>
    <t xml:space="preserve">B78920     </t>
  </si>
  <si>
    <t xml:space="preserve">B78921     </t>
  </si>
  <si>
    <t xml:space="preserve">B79192     </t>
  </si>
  <si>
    <t xml:space="preserve">B79193     </t>
  </si>
  <si>
    <t xml:space="preserve">B80320     </t>
  </si>
  <si>
    <t xml:space="preserve">B80882     </t>
  </si>
  <si>
    <t xml:space="preserve">B80883     </t>
  </si>
  <si>
    <t>DIB110411TU8</t>
  </si>
  <si>
    <t xml:space="preserve">B79678     </t>
  </si>
  <si>
    <t xml:space="preserve">B69872     </t>
  </si>
  <si>
    <t xml:space="preserve">B79196     </t>
  </si>
  <si>
    <t xml:space="preserve">B79198     </t>
  </si>
  <si>
    <t xml:space="preserve">B77795     </t>
  </si>
  <si>
    <t xml:space="preserve">B78127     </t>
  </si>
  <si>
    <t xml:space="preserve">B78529     </t>
  </si>
  <si>
    <t xml:space="preserve">B79685     </t>
  </si>
  <si>
    <t xml:space="preserve">B79994     </t>
  </si>
  <si>
    <t xml:space="preserve">B80881     </t>
  </si>
  <si>
    <t xml:space="preserve">B70367     </t>
  </si>
  <si>
    <t xml:space="preserve">B72847     </t>
  </si>
  <si>
    <t xml:space="preserve">B74332     </t>
  </si>
  <si>
    <t xml:space="preserve">B74334     </t>
  </si>
  <si>
    <t xml:space="preserve">B74335     </t>
  </si>
  <si>
    <t xml:space="preserve">B74337     </t>
  </si>
  <si>
    <t xml:space="preserve">B74629     </t>
  </si>
  <si>
    <t xml:space="preserve">B74630     </t>
  </si>
  <si>
    <t xml:space="preserve">B74631     </t>
  </si>
  <si>
    <t xml:space="preserve">B76983     </t>
  </si>
  <si>
    <t xml:space="preserve">B76985     </t>
  </si>
  <si>
    <t xml:space="preserve">B76987     </t>
  </si>
  <si>
    <t xml:space="preserve">B76988     </t>
  </si>
  <si>
    <t xml:space="preserve">B78102     </t>
  </si>
  <si>
    <t xml:space="preserve">B78103     </t>
  </si>
  <si>
    <t xml:space="preserve">B78505     </t>
  </si>
  <si>
    <t xml:space="preserve">B79274     </t>
  </si>
  <si>
    <t xml:space="preserve">B79275     </t>
  </si>
  <si>
    <t xml:space="preserve">B79276     </t>
  </si>
  <si>
    <t xml:space="preserve">B79669     </t>
  </si>
  <si>
    <t xml:space="preserve">B79982     </t>
  </si>
  <si>
    <t xml:space="preserve">B79665     </t>
  </si>
  <si>
    <t xml:space="preserve">B80876     </t>
  </si>
  <si>
    <t>Cisterna de almacenamiento de agua</t>
  </si>
  <si>
    <t>Instalación de cámaras de circuito cerrado</t>
  </si>
  <si>
    <t>Estacionamientos en camellones</t>
  </si>
  <si>
    <t>Construcción de estacionamientos públicos.</t>
  </si>
  <si>
    <t>Instalación de cámaras de circuito cerrado.</t>
  </si>
  <si>
    <t>Construcción de carril lateral Tabalaopa</t>
  </si>
  <si>
    <t>Construcción de área de estacionamiento en el dren pluvial.</t>
  </si>
  <si>
    <t>Construcción de incubadoras para PYMES</t>
  </si>
  <si>
    <t>Construcción de reductores de velocidad con concreto hidráulico.</t>
  </si>
  <si>
    <t>Drenaje pluvial</t>
  </si>
  <si>
    <t>Vialidad Rio Batopilas y drenaje pluvial</t>
  </si>
  <si>
    <t>Rehabilitación de vialidades.</t>
  </si>
  <si>
    <t>Construcción de incubadoras para PYMES (Centauro del norte)</t>
  </si>
  <si>
    <t>PARQUE AGROINDUSTRIAL DELICIAS</t>
  </si>
  <si>
    <t>PARQUE INDUSTRIAL INSURGENTES</t>
  </si>
  <si>
    <t>PARQUE INDUSTRIAL EL SOLDADO</t>
  </si>
  <si>
    <t>1122-11971</t>
  </si>
  <si>
    <t>SINERGIA Y MASIVOS SA DE CV</t>
  </si>
  <si>
    <t>1122-12023</t>
  </si>
  <si>
    <t>PRODUCTOS LACTEOS SAN BUENA SA DE CV</t>
  </si>
  <si>
    <t>1122-12024</t>
  </si>
  <si>
    <t>MONTACARGAS YALE DE MEXICO SA DE CV</t>
  </si>
  <si>
    <t>1122-12026</t>
  </si>
  <si>
    <t>DINAMAK MACHINING SOLUTIONS DE MEXICO SA DE CV</t>
  </si>
  <si>
    <t>1122-12031</t>
  </si>
  <si>
    <t>DSI UNDER GROUND MEXICO SA DE CV</t>
  </si>
  <si>
    <t>1122-12032</t>
  </si>
  <si>
    <t>ABARROTERA DEL DUERO SA DE CV</t>
  </si>
  <si>
    <t>1122-12035</t>
  </si>
  <si>
    <t>DISTRIBUCIONES INTERNACIONALES AMERICA SA DE CV</t>
  </si>
  <si>
    <t>2112-1-31801</t>
  </si>
  <si>
    <t>SERVICIOS POSTALES Y TELEGRAFICOS</t>
  </si>
  <si>
    <t>5131-31801</t>
  </si>
  <si>
    <t>8240-14898-0201-01-31801-1</t>
  </si>
  <si>
    <t>8250-14898-0201-01-31801-1</t>
  </si>
  <si>
    <t>8260-14898-0201-01-31801-1</t>
  </si>
  <si>
    <t>8270-14898-0201-01-31801-1</t>
  </si>
  <si>
    <t>SINERGIA Y MASIVOS, S.A. DE C.V.</t>
  </si>
  <si>
    <t>DINAMAQ MACHINING SOLUTIONS DE MEXICO SA DE CV</t>
  </si>
  <si>
    <t xml:space="preserve">B91426     </t>
  </si>
  <si>
    <t>DMS190528289</t>
  </si>
  <si>
    <t xml:space="preserve">B91440     </t>
  </si>
  <si>
    <t xml:space="preserve">B91418     </t>
  </si>
  <si>
    <t>SMA070806B77</t>
  </si>
  <si>
    <t xml:space="preserve">B91423     </t>
  </si>
  <si>
    <t xml:space="preserve">B91392     </t>
  </si>
  <si>
    <t xml:space="preserve">B91391     </t>
  </si>
  <si>
    <t xml:space="preserve">B91400     </t>
  </si>
  <si>
    <t xml:space="preserve">B91338     </t>
  </si>
  <si>
    <t xml:space="preserve">B91277     </t>
  </si>
  <si>
    <t xml:space="preserve">B91210     </t>
  </si>
  <si>
    <t xml:space="preserve">B91175     </t>
  </si>
  <si>
    <t xml:space="preserve">B91153     </t>
  </si>
  <si>
    <t xml:space="preserve">B91076     </t>
  </si>
  <si>
    <t xml:space="preserve">B91077     </t>
  </si>
  <si>
    <t>Presupuesto original</t>
  </si>
  <si>
    <t>1122-12028</t>
  </si>
  <si>
    <t>CIKLO RECICLADOS Y PROCESADOS S DE RL DE CV</t>
  </si>
  <si>
    <t>1122-12029</t>
  </si>
  <si>
    <t>ANALIA PADILLA SOTO</t>
  </si>
  <si>
    <t>1122-21097</t>
  </si>
  <si>
    <t>MANTENIMIENTO  INTEGRAL FINSA SA DE CV</t>
  </si>
  <si>
    <t>1124-10009</t>
  </si>
  <si>
    <t>SALDO A FAV IVA MAY 2020</t>
  </si>
  <si>
    <t xml:space="preserve">B91906     </t>
  </si>
  <si>
    <t xml:space="preserve">B91896     </t>
  </si>
  <si>
    <t xml:space="preserve">B91875     </t>
  </si>
  <si>
    <t xml:space="preserve">B91850     </t>
  </si>
  <si>
    <t xml:space="preserve">B91854     </t>
  </si>
  <si>
    <t xml:space="preserve">B91856     </t>
  </si>
  <si>
    <t xml:space="preserve">B91801     </t>
  </si>
  <si>
    <t xml:space="preserve">B91798     </t>
  </si>
  <si>
    <t xml:space="preserve">B91650     </t>
  </si>
  <si>
    <t xml:space="preserve">B91663     </t>
  </si>
  <si>
    <t xml:space="preserve">B91636     </t>
  </si>
  <si>
    <t xml:space="preserve">B91625     </t>
  </si>
  <si>
    <t xml:space="preserve">B91626     </t>
  </si>
  <si>
    <t xml:space="preserve">B91608     </t>
  </si>
  <si>
    <t>1124-10010</t>
  </si>
  <si>
    <t>SALDO A FAV IVA JUN 2020</t>
  </si>
  <si>
    <t>2020 (REA cancelación facturas)</t>
  </si>
  <si>
    <t xml:space="preserve">B92341     </t>
  </si>
  <si>
    <t xml:space="preserve">B92321     </t>
  </si>
  <si>
    <t xml:space="preserve">B92322     </t>
  </si>
  <si>
    <t xml:space="preserve">B92276     </t>
  </si>
  <si>
    <t xml:space="preserve">B92278     </t>
  </si>
  <si>
    <t xml:space="preserve">B92296     </t>
  </si>
  <si>
    <t xml:space="preserve">B92274     </t>
  </si>
  <si>
    <t xml:space="preserve">B92214     </t>
  </si>
  <si>
    <t xml:space="preserve">B92211     </t>
  </si>
  <si>
    <t xml:space="preserve">B92160     </t>
  </si>
  <si>
    <t xml:space="preserve">B91985     </t>
  </si>
  <si>
    <t xml:space="preserve">B92007     </t>
  </si>
  <si>
    <t xml:space="preserve">B92003     </t>
  </si>
  <si>
    <t xml:space="preserve">B92024     </t>
  </si>
  <si>
    <t xml:space="preserve">B92036     </t>
  </si>
  <si>
    <t xml:space="preserve">B92045     </t>
  </si>
  <si>
    <t xml:space="preserve">B92084     </t>
  </si>
  <si>
    <t>1123-10001</t>
  </si>
  <si>
    <t>1122-79</t>
  </si>
  <si>
    <t>SRIA. DE ECONOMIA</t>
  </si>
  <si>
    <t>1124-10011</t>
  </si>
  <si>
    <t>SALDO A FAV IVA JUL 2020</t>
  </si>
  <si>
    <t xml:space="preserve">B92741     </t>
  </si>
  <si>
    <t xml:space="preserve">B92742     </t>
  </si>
  <si>
    <t xml:space="preserve">B92750     </t>
  </si>
  <si>
    <t xml:space="preserve">B92751     </t>
  </si>
  <si>
    <t xml:space="preserve">B92752     </t>
  </si>
  <si>
    <t xml:space="preserve">B92759     </t>
  </si>
  <si>
    <t xml:space="preserve">B92745     </t>
  </si>
  <si>
    <t xml:space="preserve">B92746     </t>
  </si>
  <si>
    <t xml:space="preserve">B92747     </t>
  </si>
  <si>
    <t xml:space="preserve">B92743     </t>
  </si>
  <si>
    <t xml:space="preserve">B92744     </t>
  </si>
  <si>
    <t xml:space="preserve">B92707     </t>
  </si>
  <si>
    <t xml:space="preserve">B92706     </t>
  </si>
  <si>
    <t>BOWP490629I93</t>
  </si>
  <si>
    <t xml:space="preserve">B92708     </t>
  </si>
  <si>
    <t xml:space="preserve">B92724     </t>
  </si>
  <si>
    <t xml:space="preserve">B92682     </t>
  </si>
  <si>
    <t xml:space="preserve">B92649     </t>
  </si>
  <si>
    <t xml:space="preserve">B92650     </t>
  </si>
  <si>
    <t xml:space="preserve">B92596     </t>
  </si>
  <si>
    <t xml:space="preserve">B92595     </t>
  </si>
  <si>
    <t xml:space="preserve">B92590     </t>
  </si>
  <si>
    <t xml:space="preserve">B92451     </t>
  </si>
  <si>
    <t xml:space="preserve">B92520     </t>
  </si>
  <si>
    <t>1122-12040</t>
  </si>
  <si>
    <t>ABASTOS Y DISTRIBUCIONES INTERNACIONALES SA DE CV</t>
  </si>
  <si>
    <t>1122-12041</t>
  </si>
  <si>
    <t>GAMMA INGREDIENTES S DE RL DE MI</t>
  </si>
  <si>
    <t>1124-10012</t>
  </si>
  <si>
    <t>SALDO A FAV IVA AGO 2020</t>
  </si>
  <si>
    <t>SEGREGACION A</t>
  </si>
  <si>
    <t>PARCELA 62</t>
  </si>
  <si>
    <t>ADQ. MARTHA SOFIA CHAVEZ TREJO</t>
  </si>
  <si>
    <t>ANTIGÜEDAD DE SALDOS</t>
  </si>
  <si>
    <t>ACUMULADO</t>
  </si>
  <si>
    <t>POR VENCER</t>
  </si>
  <si>
    <t>30 DÍAS</t>
  </si>
  <si>
    <t>60 DÍAS</t>
  </si>
  <si>
    <t>MÁS DE 60 DÍAS</t>
  </si>
  <si>
    <t>79489 B</t>
  </si>
  <si>
    <t>80108 B</t>
  </si>
  <si>
    <t>84175 B</t>
  </si>
  <si>
    <t>84176 B</t>
  </si>
  <si>
    <t>85884 B</t>
  </si>
  <si>
    <t>TOTALES</t>
  </si>
  <si>
    <t>Superior Industries de Mexico S.de R.L. de C.V.</t>
  </si>
  <si>
    <t>87128 B</t>
  </si>
  <si>
    <t>88007 B</t>
  </si>
  <si>
    <t>88411 B</t>
  </si>
  <si>
    <t>88854 B</t>
  </si>
  <si>
    <t>89971 B</t>
  </si>
  <si>
    <t>15/05/2020</t>
  </si>
  <si>
    <t>91850 B</t>
  </si>
  <si>
    <t>91854 B</t>
  </si>
  <si>
    <t>91856 B</t>
  </si>
  <si>
    <t>91985 B</t>
  </si>
  <si>
    <t>90633 B</t>
  </si>
  <si>
    <t>90634 B</t>
  </si>
  <si>
    <t>90635 B</t>
  </si>
  <si>
    <t>91076 B</t>
  </si>
  <si>
    <t>91077 B</t>
  </si>
  <si>
    <t>19/05/2020</t>
  </si>
  <si>
    <t>91875 B</t>
  </si>
  <si>
    <t>92007 B</t>
  </si>
  <si>
    <t>92707 B</t>
  </si>
  <si>
    <t>93129 B</t>
  </si>
  <si>
    <t>76359 B</t>
  </si>
  <si>
    <t>80143 B</t>
  </si>
  <si>
    <t>27/04/2020</t>
  </si>
  <si>
    <t>87341 B</t>
  </si>
  <si>
    <t>87723 B</t>
  </si>
  <si>
    <t>59556 B</t>
  </si>
  <si>
    <t>60222 B</t>
  </si>
  <si>
    <t>60223 B</t>
  </si>
  <si>
    <t>60527 B</t>
  </si>
  <si>
    <t>60528 B</t>
  </si>
  <si>
    <t>60529 B</t>
  </si>
  <si>
    <t>60923 B</t>
  </si>
  <si>
    <t>60924 B</t>
  </si>
  <si>
    <t>60925 B</t>
  </si>
  <si>
    <t>61224 B</t>
  </si>
  <si>
    <t>61225 B</t>
  </si>
  <si>
    <t>61226 B</t>
  </si>
  <si>
    <t>61527 B</t>
  </si>
  <si>
    <t>61528 B</t>
  </si>
  <si>
    <t>61529 B</t>
  </si>
  <si>
    <t>61898 B</t>
  </si>
  <si>
    <t>61899 B</t>
  </si>
  <si>
    <t>61900 B</t>
  </si>
  <si>
    <t>62332 B</t>
  </si>
  <si>
    <t>62333 B</t>
  </si>
  <si>
    <t>62334 B</t>
  </si>
  <si>
    <t>62659 B</t>
  </si>
  <si>
    <t>62660 B</t>
  </si>
  <si>
    <t>62661 B</t>
  </si>
  <si>
    <t>62991 B</t>
  </si>
  <si>
    <t>62992 B</t>
  </si>
  <si>
    <t>62993 B</t>
  </si>
  <si>
    <t>63304 B</t>
  </si>
  <si>
    <t>63305 B</t>
  </si>
  <si>
    <t>63306 B</t>
  </si>
  <si>
    <t>63659 B</t>
  </si>
  <si>
    <t>63660 B</t>
  </si>
  <si>
    <t>63661 B</t>
  </si>
  <si>
    <t>63990 B</t>
  </si>
  <si>
    <t>63991 B</t>
  </si>
  <si>
    <t>63992 B</t>
  </si>
  <si>
    <t>64350 B</t>
  </si>
  <si>
    <t>64351 B</t>
  </si>
  <si>
    <t>64352 B</t>
  </si>
  <si>
    <t>64715 B</t>
  </si>
  <si>
    <t>64716 B</t>
  </si>
  <si>
    <t>64717 B</t>
  </si>
  <si>
    <t>65137 B</t>
  </si>
  <si>
    <t>65138 B</t>
  </si>
  <si>
    <t>65139 B</t>
  </si>
  <si>
    <t>65422 B</t>
  </si>
  <si>
    <t>65423 B</t>
  </si>
  <si>
    <t>65424 B</t>
  </si>
  <si>
    <t>65776 B</t>
  </si>
  <si>
    <t>65777 B</t>
  </si>
  <si>
    <t>65778 B</t>
  </si>
  <si>
    <t>66151 B</t>
  </si>
  <si>
    <t>66152 B</t>
  </si>
  <si>
    <t>66153 B</t>
  </si>
  <si>
    <t>66612 B</t>
  </si>
  <si>
    <t>66613 B</t>
  </si>
  <si>
    <t>66614 B</t>
  </si>
  <si>
    <t>66972 B</t>
  </si>
  <si>
    <t>66973 B</t>
  </si>
  <si>
    <t>66974 B</t>
  </si>
  <si>
    <t>67322 B</t>
  </si>
  <si>
    <t>67323 B</t>
  </si>
  <si>
    <t>67324 B</t>
  </si>
  <si>
    <t>67720 B</t>
  </si>
  <si>
    <t>67721 B</t>
  </si>
  <si>
    <t>67722 B</t>
  </si>
  <si>
    <t>68121 B</t>
  </si>
  <si>
    <t>68122 B</t>
  </si>
  <si>
    <t>68123 B</t>
  </si>
  <si>
    <t>68474 B</t>
  </si>
  <si>
    <t>68475 B</t>
  </si>
  <si>
    <t>68476 B</t>
  </si>
  <si>
    <t>68853 B</t>
  </si>
  <si>
    <t>68854 B</t>
  </si>
  <si>
    <t>68855 B</t>
  </si>
  <si>
    <t>69200 B</t>
  </si>
  <si>
    <t>69201 B</t>
  </si>
  <si>
    <t>69202 B</t>
  </si>
  <si>
    <t>69609 B</t>
  </si>
  <si>
    <t>69610 B</t>
  </si>
  <si>
    <t>69611 B</t>
  </si>
  <si>
    <t>70029 B</t>
  </si>
  <si>
    <t>70030 B</t>
  </si>
  <si>
    <t>70031 B</t>
  </si>
  <si>
    <t>70408 B</t>
  </si>
  <si>
    <t>70409 B</t>
  </si>
  <si>
    <t>70410 B</t>
  </si>
  <si>
    <t>70797 B</t>
  </si>
  <si>
    <t>70799 B</t>
  </si>
  <si>
    <t>71066 B</t>
  </si>
  <si>
    <t>71189 B</t>
  </si>
  <si>
    <t>71190 B</t>
  </si>
  <si>
    <t>71191 B</t>
  </si>
  <si>
    <t>71666 B</t>
  </si>
  <si>
    <t>71667 B</t>
  </si>
  <si>
    <t>71668 B</t>
  </si>
  <si>
    <t>72089 B</t>
  </si>
  <si>
    <t>72090 B</t>
  </si>
  <si>
    <t>72091 B</t>
  </si>
  <si>
    <t>72498 B</t>
  </si>
  <si>
    <t>72499 B</t>
  </si>
  <si>
    <t>72500 B</t>
  </si>
  <si>
    <t>79315 B</t>
  </si>
  <si>
    <t>79316 B</t>
  </si>
  <si>
    <t>79317 B</t>
  </si>
  <si>
    <t>79318 B</t>
  </si>
  <si>
    <t>21/04/2020</t>
  </si>
  <si>
    <t>80558 B</t>
  </si>
  <si>
    <t>20/05/2020</t>
  </si>
  <si>
    <t>88750 B</t>
  </si>
  <si>
    <t>89133 B</t>
  </si>
  <si>
    <t>89372 B</t>
  </si>
  <si>
    <t>89789 B</t>
  </si>
  <si>
    <t>90216 B</t>
  </si>
  <si>
    <t>90782 B</t>
  </si>
  <si>
    <t>23/04/2020</t>
  </si>
  <si>
    <t>91338 B</t>
  </si>
  <si>
    <t>91650 B</t>
  </si>
  <si>
    <t>92003 B</t>
  </si>
  <si>
    <t>92451 B</t>
  </si>
  <si>
    <t>92884 B</t>
  </si>
  <si>
    <t>79801 B</t>
  </si>
  <si>
    <t>79802 B</t>
  </si>
  <si>
    <t>86058 B</t>
  </si>
  <si>
    <t>86059 B</t>
  </si>
  <si>
    <t>80360 B</t>
  </si>
  <si>
    <t>82310 B</t>
  </si>
  <si>
    <t>69647 B</t>
  </si>
  <si>
    <t>89837 B</t>
  </si>
  <si>
    <t>61586 B</t>
  </si>
  <si>
    <t>81656 B</t>
  </si>
  <si>
    <t>15/01/2019</t>
  </si>
  <si>
    <t>84808 B</t>
  </si>
  <si>
    <t>85160 B</t>
  </si>
  <si>
    <t>88927 B</t>
  </si>
  <si>
    <t>92889 B</t>
  </si>
  <si>
    <t>28/04/2020</t>
  </si>
  <si>
    <t>75756 B</t>
  </si>
  <si>
    <t>75769 B</t>
  </si>
  <si>
    <t>77373 B</t>
  </si>
  <si>
    <t>88935 B</t>
  </si>
  <si>
    <t>89469 B</t>
  </si>
  <si>
    <t>89842 B</t>
  </si>
  <si>
    <t>90299 B</t>
  </si>
  <si>
    <t>90801 B</t>
  </si>
  <si>
    <t>91153 B</t>
  </si>
  <si>
    <t>91663 B</t>
  </si>
  <si>
    <t>92160 B</t>
  </si>
  <si>
    <t>Grupo American Industries S.A de C.V.</t>
  </si>
  <si>
    <t>15/06/2020</t>
  </si>
  <si>
    <t>79384 B</t>
  </si>
  <si>
    <t>30/01/2019</t>
  </si>
  <si>
    <t>28/06/2019</t>
  </si>
  <si>
    <t>76025 B</t>
  </si>
  <si>
    <t>76486 B</t>
  </si>
  <si>
    <t>76901 B</t>
  </si>
  <si>
    <t>77797 B</t>
  </si>
  <si>
    <t>77798 B</t>
  </si>
  <si>
    <t>78440 B</t>
  </si>
  <si>
    <t>78441 B</t>
  </si>
  <si>
    <t>79114 B</t>
  </si>
  <si>
    <t>79418 B</t>
  </si>
  <si>
    <t>79838 B</t>
  </si>
  <si>
    <t>80250 B</t>
  </si>
  <si>
    <t>80895 B</t>
  </si>
  <si>
    <t>81320 B</t>
  </si>
  <si>
    <t>81729 B</t>
  </si>
  <si>
    <t>82150 B</t>
  </si>
  <si>
    <t>82533 B</t>
  </si>
  <si>
    <t>25/09/2018</t>
  </si>
  <si>
    <t>83012 B</t>
  </si>
  <si>
    <t>Pactiv México S De R.L De C.V</t>
  </si>
  <si>
    <t>15/01/2020</t>
  </si>
  <si>
    <t>90092 B</t>
  </si>
  <si>
    <t>83430 B</t>
  </si>
  <si>
    <t>RESIDEO MANUFACTURAS DE CHIHUAHUA S.DE.R.L. DE C.V.</t>
  </si>
  <si>
    <t>13/02/2019</t>
  </si>
  <si>
    <t>85303 B</t>
  </si>
  <si>
    <t>89784 B</t>
  </si>
  <si>
    <t>Durabox de Chihuahua S.A. De C.V.</t>
  </si>
  <si>
    <t>Bimbo S.A. de C.V.</t>
  </si>
  <si>
    <t>74516 B</t>
  </si>
  <si>
    <t>76419 B</t>
  </si>
  <si>
    <t>76810 B</t>
  </si>
  <si>
    <t>77201 B</t>
  </si>
  <si>
    <t>77606 B</t>
  </si>
  <si>
    <t>77774 B</t>
  </si>
  <si>
    <t>77971 B</t>
  </si>
  <si>
    <t>78363 B</t>
  </si>
  <si>
    <t>78763 B</t>
  </si>
  <si>
    <t>78950 B</t>
  </si>
  <si>
    <t>79719 B</t>
  </si>
  <si>
    <t>81659 B</t>
  </si>
  <si>
    <t>81660 B</t>
  </si>
  <si>
    <t>82670 B</t>
  </si>
  <si>
    <t>82928 B</t>
  </si>
  <si>
    <t>83867 B</t>
  </si>
  <si>
    <t>84270 B</t>
  </si>
  <si>
    <t>84837 B</t>
  </si>
  <si>
    <t>85243 B</t>
  </si>
  <si>
    <t>85660 B</t>
  </si>
  <si>
    <t>86042 B</t>
  </si>
  <si>
    <t>13/08/2019</t>
  </si>
  <si>
    <t>87916 B</t>
  </si>
  <si>
    <t>88330 B</t>
  </si>
  <si>
    <t>89488 B</t>
  </si>
  <si>
    <t>89858 B</t>
  </si>
  <si>
    <t>90313 B</t>
  </si>
  <si>
    <t>90819 B</t>
  </si>
  <si>
    <t>23/06/2020</t>
  </si>
  <si>
    <t>92341 B</t>
  </si>
  <si>
    <t>92595 B</t>
  </si>
  <si>
    <t>14/07/2020</t>
  </si>
  <si>
    <t>92741 B</t>
  </si>
  <si>
    <t>92742 B</t>
  </si>
  <si>
    <t>93023 B</t>
  </si>
  <si>
    <t>81093 B</t>
  </si>
  <si>
    <t>91210 B</t>
  </si>
  <si>
    <t>92649 B</t>
  </si>
  <si>
    <t>92650 B</t>
  </si>
  <si>
    <t>Desarrollo de Ingenieria y Contratacion SA de CV</t>
  </si>
  <si>
    <t>22/03/2019</t>
  </si>
  <si>
    <t>85766 B</t>
  </si>
  <si>
    <t>78774 B</t>
  </si>
  <si>
    <t>82228 B</t>
  </si>
  <si>
    <t>82613 B</t>
  </si>
  <si>
    <t>83053 B</t>
  </si>
  <si>
    <t>83400 B</t>
  </si>
  <si>
    <t>83876 B</t>
  </si>
  <si>
    <t>84334 B</t>
  </si>
  <si>
    <t>84665 B</t>
  </si>
  <si>
    <t>85132 B</t>
  </si>
  <si>
    <t>15/04/2019</t>
  </si>
  <si>
    <t>86185 B</t>
  </si>
  <si>
    <t>86186 B</t>
  </si>
  <si>
    <t>87786 B</t>
  </si>
  <si>
    <t>84649 B</t>
  </si>
  <si>
    <t>84729 B</t>
  </si>
  <si>
    <t>85101 B</t>
  </si>
  <si>
    <t>89959 B</t>
  </si>
  <si>
    <t>90087 B</t>
  </si>
  <si>
    <t>83429 B</t>
  </si>
  <si>
    <t>81467 B</t>
  </si>
  <si>
    <t>81468 B</t>
  </si>
  <si>
    <t>82586 B</t>
  </si>
  <si>
    <t>83803 B</t>
  </si>
  <si>
    <t>84254 B</t>
  </si>
  <si>
    <t>84255 B</t>
  </si>
  <si>
    <t>84256 B</t>
  </si>
  <si>
    <t>89512 B</t>
  </si>
  <si>
    <t>92276 B</t>
  </si>
  <si>
    <t>92278 B</t>
  </si>
  <si>
    <t>92750 B</t>
  </si>
  <si>
    <t>92751 B</t>
  </si>
  <si>
    <t>92752 B</t>
  </si>
  <si>
    <t>NALCO DE MEXICO</t>
  </si>
  <si>
    <t>89873 B</t>
  </si>
  <si>
    <t>80098 B</t>
  </si>
  <si>
    <t>24/08/2020</t>
  </si>
  <si>
    <t>93234 B</t>
  </si>
  <si>
    <t>93235 B</t>
  </si>
  <si>
    <t>83064 B</t>
  </si>
  <si>
    <t>83441 B</t>
  </si>
  <si>
    <t>84367 B</t>
  </si>
  <si>
    <t>82061 B</t>
  </si>
  <si>
    <t>90760 B</t>
  </si>
  <si>
    <t>80842 B</t>
  </si>
  <si>
    <t>83021 B</t>
  </si>
  <si>
    <t>80022 B</t>
  </si>
  <si>
    <t>80023 B</t>
  </si>
  <si>
    <t>15/04/2020</t>
  </si>
  <si>
    <t>91175 B</t>
  </si>
  <si>
    <t>92024 B</t>
  </si>
  <si>
    <t>92520 B</t>
  </si>
  <si>
    <t>92951 B</t>
  </si>
  <si>
    <t>87822 B</t>
  </si>
  <si>
    <t>88210 B</t>
  </si>
  <si>
    <t>88615 B</t>
  </si>
  <si>
    <t>89537 B</t>
  </si>
  <si>
    <t>83432 B</t>
  </si>
  <si>
    <t>85273 B</t>
  </si>
  <si>
    <t>INDICON</t>
  </si>
  <si>
    <t>88623 B</t>
  </si>
  <si>
    <t>88624 B</t>
  </si>
  <si>
    <t>17/02/2020</t>
  </si>
  <si>
    <t>90568 B</t>
  </si>
  <si>
    <t>90876 B</t>
  </si>
  <si>
    <t>78036 B</t>
  </si>
  <si>
    <t>78426 B</t>
  </si>
  <si>
    <t>83472 B</t>
  </si>
  <si>
    <t>87336 B</t>
  </si>
  <si>
    <t>92036 B</t>
  </si>
  <si>
    <t>Administración y Consultorías de Chihuahua SA de CV</t>
  </si>
  <si>
    <t>80767 B</t>
  </si>
  <si>
    <t>92045 B</t>
  </si>
  <si>
    <t>74218 B</t>
  </si>
  <si>
    <t>74219 B</t>
  </si>
  <si>
    <t>75411 B</t>
  </si>
  <si>
    <t>75716 B</t>
  </si>
  <si>
    <t>76898 B</t>
  </si>
  <si>
    <t>76899 B</t>
  </si>
  <si>
    <t>77270 B</t>
  </si>
  <si>
    <t>89200 B</t>
  </si>
  <si>
    <t>89389 B</t>
  </si>
  <si>
    <t>20/01/2020</t>
  </si>
  <si>
    <t>90128 B</t>
  </si>
  <si>
    <t>90458 B</t>
  </si>
  <si>
    <t>91418 B</t>
  </si>
  <si>
    <t>92321 B</t>
  </si>
  <si>
    <t>92322 B</t>
  </si>
  <si>
    <t>92706 B</t>
  </si>
  <si>
    <t>Deutsche Bank Mexico Sociedad Anonima Institucion de Banca Multiple Division Fiduciaria F/1616</t>
  </si>
  <si>
    <t>88873 B</t>
  </si>
  <si>
    <t>89334 B</t>
  </si>
  <si>
    <t>90017 B</t>
  </si>
  <si>
    <t>79860 B</t>
  </si>
  <si>
    <t>83374 B</t>
  </si>
  <si>
    <t>92708 B</t>
  </si>
  <si>
    <t>80893 B</t>
  </si>
  <si>
    <t>81305 B</t>
  </si>
  <si>
    <t>81633 B</t>
  </si>
  <si>
    <t>82051 B</t>
  </si>
  <si>
    <t>82484 B</t>
  </si>
  <si>
    <t>82948 B</t>
  </si>
  <si>
    <t>83970 B</t>
  </si>
  <si>
    <t>84418 B</t>
  </si>
  <si>
    <t>84724 B</t>
  </si>
  <si>
    <t>85096 B</t>
  </si>
  <si>
    <t>85557 B</t>
  </si>
  <si>
    <t>85976 B</t>
  </si>
  <si>
    <t>86422 B</t>
  </si>
  <si>
    <t>86867 B</t>
  </si>
  <si>
    <t>87319 B</t>
  </si>
  <si>
    <t>87631 B</t>
  </si>
  <si>
    <t>88138 B</t>
  </si>
  <si>
    <t>88702 B</t>
  </si>
  <si>
    <t>89146 B</t>
  </si>
  <si>
    <t>89415 B</t>
  </si>
  <si>
    <t>90067 B</t>
  </si>
  <si>
    <t>90989 B</t>
  </si>
  <si>
    <t>90990 B</t>
  </si>
  <si>
    <t>19/03/2020</t>
  </si>
  <si>
    <t>91020 B</t>
  </si>
  <si>
    <t>80401 B</t>
  </si>
  <si>
    <t>80402 B</t>
  </si>
  <si>
    <t>87927 B</t>
  </si>
  <si>
    <t>28/10/2019</t>
  </si>
  <si>
    <t>88824 B</t>
  </si>
  <si>
    <t>91426 B</t>
  </si>
  <si>
    <t>ADEMCO COMERCIAL Y CENTRO DE INVESTIGACION Y DESARROLLO S DE RL DE CV</t>
  </si>
  <si>
    <t>82448 B</t>
  </si>
  <si>
    <t>82449 B</t>
  </si>
  <si>
    <t>84589 B</t>
  </si>
  <si>
    <t>84590 B</t>
  </si>
  <si>
    <t>88683 B</t>
  </si>
  <si>
    <t>88779 B</t>
  </si>
  <si>
    <t>90124 B</t>
  </si>
  <si>
    <t>88738 B</t>
  </si>
  <si>
    <t>89555 B</t>
  </si>
  <si>
    <t>91423 B</t>
  </si>
  <si>
    <t>91906 B</t>
  </si>
  <si>
    <t>92296 B</t>
  </si>
  <si>
    <t>92759 B</t>
  </si>
  <si>
    <t>93173 B</t>
  </si>
  <si>
    <t>92084 B</t>
  </si>
  <si>
    <t>92590 B</t>
  </si>
  <si>
    <t>93018 B</t>
  </si>
  <si>
    <t>TRAILERS YSERVICIOS DE JUAREZ SA DE CV</t>
  </si>
  <si>
    <t>89157 B</t>
  </si>
  <si>
    <t>90111 B</t>
  </si>
  <si>
    <t>19/02/2020</t>
  </si>
  <si>
    <t>90573 B</t>
  </si>
  <si>
    <t>91391 B</t>
  </si>
  <si>
    <t>91392 B</t>
  </si>
  <si>
    <t>91896 B</t>
  </si>
  <si>
    <t>92274 B</t>
  </si>
  <si>
    <t>92724 B</t>
  </si>
  <si>
    <t>93111 B</t>
  </si>
  <si>
    <t>87906 B</t>
  </si>
  <si>
    <t>87486 B</t>
  </si>
  <si>
    <t>88350 B</t>
  </si>
  <si>
    <t>88725 B</t>
  </si>
  <si>
    <t>89103 B</t>
  </si>
  <si>
    <t>89437 B</t>
  </si>
  <si>
    <t>90107 B</t>
  </si>
  <si>
    <t>90495 B</t>
  </si>
  <si>
    <t>91277 B</t>
  </si>
  <si>
    <t>91801 B</t>
  </si>
  <si>
    <t>92682 B</t>
  </si>
  <si>
    <t>92745 B</t>
  </si>
  <si>
    <t>93109 B</t>
  </si>
  <si>
    <t>19/11/2019</t>
  </si>
  <si>
    <t>89245 B</t>
  </si>
  <si>
    <t>90119 B</t>
  </si>
  <si>
    <t>90572 B</t>
  </si>
  <si>
    <t>90970 B</t>
  </si>
  <si>
    <t>91400 B</t>
  </si>
  <si>
    <t>91798 B</t>
  </si>
  <si>
    <t>92746 B</t>
  </si>
  <si>
    <t>92747 B</t>
  </si>
  <si>
    <t>93117 B</t>
  </si>
  <si>
    <t>Diseño y Carpinteria J &amp; J, S. de R. L. de C. V.</t>
  </si>
  <si>
    <t>90844 B</t>
  </si>
  <si>
    <t>Otros Usuarios</t>
  </si>
  <si>
    <t>Parque Ind. Chihuahua Sur</t>
  </si>
  <si>
    <t>73546 B</t>
  </si>
  <si>
    <t>73910 B</t>
  </si>
  <si>
    <t>78539 B</t>
  </si>
  <si>
    <t>78932 B</t>
  </si>
  <si>
    <t>79280 B</t>
  </si>
  <si>
    <t>79283 B</t>
  </si>
  <si>
    <t>83692 B</t>
  </si>
  <si>
    <t>76565 B</t>
  </si>
  <si>
    <t>80603 B</t>
  </si>
  <si>
    <t>88943 B</t>
  </si>
  <si>
    <t>78888 B</t>
  </si>
  <si>
    <t>79625 B</t>
  </si>
  <si>
    <t>25/07/2019</t>
  </si>
  <si>
    <t>87516 B</t>
  </si>
  <si>
    <t>29/07/2019</t>
  </si>
  <si>
    <t>87533 B</t>
  </si>
  <si>
    <t>16/08/2019</t>
  </si>
  <si>
    <t>87931 B</t>
  </si>
  <si>
    <t>79937 B</t>
  </si>
  <si>
    <t>90954 B</t>
  </si>
  <si>
    <t>91625 B</t>
  </si>
  <si>
    <t>91626 B</t>
  </si>
  <si>
    <t>92214 B</t>
  </si>
  <si>
    <t>92596 B</t>
  </si>
  <si>
    <t>93089 B</t>
  </si>
  <si>
    <t>73454 B</t>
  </si>
  <si>
    <t>84941 B</t>
  </si>
  <si>
    <t>87869 B</t>
  </si>
  <si>
    <t>88321 B</t>
  </si>
  <si>
    <t>13/02/2020</t>
  </si>
  <si>
    <t>90549 B</t>
  </si>
  <si>
    <t>90550 B</t>
  </si>
  <si>
    <t>90551 B</t>
  </si>
  <si>
    <t>90552 B</t>
  </si>
  <si>
    <t>90553 B</t>
  </si>
  <si>
    <t>80453 B</t>
  </si>
  <si>
    <t>Instituto de Apoyo al Desarrollo  Tecnologico</t>
  </si>
  <si>
    <t>81768 B</t>
  </si>
  <si>
    <t>83461 B</t>
  </si>
  <si>
    <t>Praxair Mexico S. De R.L. de C.V.</t>
  </si>
  <si>
    <t>78919 B</t>
  </si>
  <si>
    <t>78920 B</t>
  </si>
  <si>
    <t>78921 B</t>
  </si>
  <si>
    <t>79192 B</t>
  </si>
  <si>
    <t>79193 B</t>
  </si>
  <si>
    <t>80320 B</t>
  </si>
  <si>
    <t>80882 B</t>
  </si>
  <si>
    <t>80883 B</t>
  </si>
  <si>
    <t>83462 B</t>
  </si>
  <si>
    <t>83463 B</t>
  </si>
  <si>
    <t>79678 B</t>
  </si>
  <si>
    <t>69872 B</t>
  </si>
  <si>
    <t>79196 B</t>
  </si>
  <si>
    <t>79198 B</t>
  </si>
  <si>
    <t>Distribuidora de Maquinaria del Norte S. A. de C.V.</t>
  </si>
  <si>
    <t>77795 B</t>
  </si>
  <si>
    <t>78127 B</t>
  </si>
  <si>
    <t>78529 B</t>
  </si>
  <si>
    <t>79685 B</t>
  </si>
  <si>
    <t>79994 B</t>
  </si>
  <si>
    <t>80881 B</t>
  </si>
  <si>
    <t>82118 B</t>
  </si>
  <si>
    <t>83466 B</t>
  </si>
  <si>
    <t>Parque Industrial Cuauhtemoc</t>
  </si>
  <si>
    <t>82030 B</t>
  </si>
  <si>
    <t>84216 B</t>
  </si>
  <si>
    <t>84632 B</t>
  </si>
  <si>
    <t>87111 B</t>
  </si>
  <si>
    <t>70367 B</t>
  </si>
  <si>
    <t>72847 B</t>
  </si>
  <si>
    <t>74332 B</t>
  </si>
  <si>
    <t>74334 B</t>
  </si>
  <si>
    <t>74335 B</t>
  </si>
  <si>
    <t>74337 B</t>
  </si>
  <si>
    <t>74629 B</t>
  </si>
  <si>
    <t>74630 B</t>
  </si>
  <si>
    <t>74631 B</t>
  </si>
  <si>
    <t>76983 B</t>
  </si>
  <si>
    <t>76985 B</t>
  </si>
  <si>
    <t>76987 B</t>
  </si>
  <si>
    <t>76988 B</t>
  </si>
  <si>
    <t>78102 B</t>
  </si>
  <si>
    <t>78103 B</t>
  </si>
  <si>
    <t>78505 B</t>
  </si>
  <si>
    <t>79274 B</t>
  </si>
  <si>
    <t>79275 B</t>
  </si>
  <si>
    <t>79276 B</t>
  </si>
  <si>
    <t>79669 B</t>
  </si>
  <si>
    <t>79982 B</t>
  </si>
  <si>
    <t>82566 B</t>
  </si>
  <si>
    <t>82567 B</t>
  </si>
  <si>
    <t>82568 B</t>
  </si>
  <si>
    <t>83549 B</t>
  </si>
  <si>
    <t>83550 B</t>
  </si>
  <si>
    <t>83551 B</t>
  </si>
  <si>
    <t>83820 B</t>
  </si>
  <si>
    <t>83821 B</t>
  </si>
  <si>
    <t>83822 B</t>
  </si>
  <si>
    <t>84273 B</t>
  </si>
  <si>
    <t>84274 B</t>
  </si>
  <si>
    <t>84275 B</t>
  </si>
  <si>
    <t>85221 B</t>
  </si>
  <si>
    <t>88358 B</t>
  </si>
  <si>
    <t>89671 B</t>
  </si>
  <si>
    <t>89672 B</t>
  </si>
  <si>
    <t>89920 B</t>
  </si>
  <si>
    <t>90385 B</t>
  </si>
  <si>
    <t>90386 B</t>
  </si>
  <si>
    <t>90743 B</t>
  </si>
  <si>
    <t>90744 B</t>
  </si>
  <si>
    <t>92743 B</t>
  </si>
  <si>
    <t>92744 B</t>
  </si>
  <si>
    <t>93024 B</t>
  </si>
  <si>
    <t>91440 B</t>
  </si>
  <si>
    <t>91636 B</t>
  </si>
  <si>
    <t>82573 B</t>
  </si>
  <si>
    <t>82869 B</t>
  </si>
  <si>
    <t>83530 B</t>
  </si>
  <si>
    <t>83754 B</t>
  </si>
  <si>
    <t>84229 B</t>
  </si>
  <si>
    <t>84631 B</t>
  </si>
  <si>
    <t>85225 B</t>
  </si>
  <si>
    <t>85546 B</t>
  </si>
  <si>
    <t>86102 B</t>
  </si>
  <si>
    <t>86377 B</t>
  </si>
  <si>
    <t>86822 B</t>
  </si>
  <si>
    <t>87171 B</t>
  </si>
  <si>
    <t>87562 B</t>
  </si>
  <si>
    <t>88299 B</t>
  </si>
  <si>
    <t>88503 B</t>
  </si>
  <si>
    <t>89017 B</t>
  </si>
  <si>
    <t>89625 B</t>
  </si>
  <si>
    <t>89911 B</t>
  </si>
  <si>
    <t>90364 B</t>
  </si>
  <si>
    <t>90753 B</t>
  </si>
  <si>
    <t>91608 B</t>
  </si>
  <si>
    <t>92211 B</t>
  </si>
  <si>
    <t>79665 B</t>
  </si>
  <si>
    <t>80876 B</t>
  </si>
  <si>
    <t xml:space="preserve">B93234     </t>
  </si>
  <si>
    <t xml:space="preserve">B93235     </t>
  </si>
  <si>
    <t xml:space="preserve">B93129     </t>
  </si>
  <si>
    <t xml:space="preserve">B93173     </t>
  </si>
  <si>
    <t xml:space="preserve">B93111     </t>
  </si>
  <si>
    <t xml:space="preserve">B93109     </t>
  </si>
  <si>
    <t xml:space="preserve">B93117     </t>
  </si>
  <si>
    <t xml:space="preserve">B93089     </t>
  </si>
  <si>
    <t xml:space="preserve">B92884     </t>
  </si>
  <si>
    <t xml:space="preserve">B92889     </t>
  </si>
  <si>
    <t xml:space="preserve">B93023     </t>
  </si>
  <si>
    <t xml:space="preserve">B92951     </t>
  </si>
  <si>
    <t xml:space="preserve">B93018     </t>
  </si>
  <si>
    <t xml:space="preserve">B93024     </t>
  </si>
  <si>
    <t>2020</t>
  </si>
  <si>
    <t>Ingresos de Gestión</t>
  </si>
  <si>
    <t xml:space="preserve">Contribuciones de Mejoras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</si>
  <si>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</si>
  <si>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</si>
  <si>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</si>
  <si>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</si>
  <si>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Financieros</t>
  </si>
  <si>
    <t>Gastos de Funcionamiento</t>
  </si>
  <si>
    <t>Aumento por Insuficiencia de Estimaciones por Pérdida o Deterioro u Obsolescencia</t>
  </si>
  <si>
    <t>Inversión Pública no Capitalizable</t>
  </si>
  <si>
    <t>Inventarios</t>
  </si>
  <si>
    <t>Fondos y Bienes de Terceros en Garantía y/o Administración a Corto Plazo</t>
  </si>
  <si>
    <t>Otros Activos Circulantes</t>
  </si>
  <si>
    <t>Total de Activos Circulantes</t>
  </si>
  <si>
    <t>Fondos y Bienes de Terceros en Garantía y/o en Administración a Largo Plazo</t>
  </si>
  <si>
    <t>Total del Pasivo</t>
  </si>
  <si>
    <t>Total de Activos No Circulantes</t>
  </si>
  <si>
    <t>HACIENDA PÚBLICA/PATRIMONIO</t>
  </si>
  <si>
    <t>Resultados del Ejercicio (Ahorro/ Desahorro)</t>
  </si>
  <si>
    <t>Total Hacienda Pública/Patrimonio</t>
  </si>
  <si>
    <t>Total del Pasivo y Hacienda Pública/Patrimonio</t>
  </si>
  <si>
    <t>ASEC_ESF_2doTRIM_Z0</t>
  </si>
  <si>
    <t>ASEC_EVHP_2doTRIM_F8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</si>
  <si>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</si>
  <si>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</si>
  <si>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</si>
  <si>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</si>
  <si>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Hacienda Pública / Patrimonio Neto Final 2020</t>
  </si>
  <si>
    <t>Estimación por Pérdida o Deterioro de Activos No Circulantes</t>
  </si>
  <si>
    <t>Documentos por Pagar Corto Plazo</t>
  </si>
  <si>
    <t>Fondos y Bienes de Terceros en Garantia y/o Administración a Largo Plazo</t>
  </si>
  <si>
    <t>Hacienda Pública / Patrimonio Generado</t>
  </si>
  <si>
    <t>Resultado del Ejercicio (Ahorro/Desahorro)</t>
  </si>
  <si>
    <t>Resultado de Ejercicios Anteriores</t>
  </si>
  <si>
    <t xml:space="preserve">Flujos de Efectivo de las Actividades de Operación </t>
  </si>
  <si>
    <t>Flujos de Efectivo de las Actividades de Inversión</t>
  </si>
  <si>
    <t>ASEC_EFE_2doTRIM_C2</t>
  </si>
  <si>
    <t>Otros Orígenes de Inversión</t>
  </si>
  <si>
    <t>Interno</t>
  </si>
  <si>
    <t>Externo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</si>
  <si>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</si>
  <si>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</si>
  <si>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</si>
  <si>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</si>
  <si>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4 (1 + 2 - 3)</t>
  </si>
  <si>
    <t>5 (4 - 1)</t>
  </si>
  <si>
    <t>ASEC_EAA_2doTRIM_I7</t>
  </si>
  <si>
    <t>Moneda de Contratación</t>
  </si>
  <si>
    <t>Institución Acreedora</t>
  </si>
  <si>
    <t>Corto Plazo</t>
  </si>
  <si>
    <t>ASEC_EADOP_2doTRIM_V3</t>
  </si>
  <si>
    <t>Subtotal Corto Plazo</t>
  </si>
  <si>
    <t>Largo Plazo</t>
  </si>
  <si>
    <t>Subtotal Largo Plazo</t>
  </si>
  <si>
    <t>Total Deuda y Otros Pasivos</t>
  </si>
  <si>
    <t>1</t>
  </si>
  <si>
    <t>2</t>
  </si>
  <si>
    <t>4</t>
  </si>
  <si>
    <t>5</t>
  </si>
  <si>
    <t>(6= 5 - 1 )</t>
  </si>
  <si>
    <t>Ingresos por Venta de Bienes, Presentación de Servicios y Otros Ingresos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</si>
  <si>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</si>
  <si>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</si>
  <si>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</si>
  <si>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</si>
  <si>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</si>
  <si>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</si>
  <si>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Venta  de  Bienes  y  Servicios  de  Entidades  del  Gobierno  Federal/  Ingresos  de  Explotación  de Entidades Empresariales</t>
  </si>
  <si>
    <t xml:space="preserve">Estado Analítico del Ejercicio del Presupuesto de Egresos 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</si>
  <si>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</si>
  <si>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</si>
  <si>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</si>
  <si>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</si>
  <si>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Pagado </t>
  </si>
  <si>
    <t>3 = (1+2)</t>
  </si>
  <si>
    <t>6 = ( 3 - 4)</t>
  </si>
  <si>
    <t xml:space="preserve">Total del Gasto </t>
  </si>
  <si>
    <t>3 = (1 + 2)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</si>
  <si>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</si>
  <si>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</si>
  <si>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</si>
  <si>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</si>
  <si>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</si>
  <si>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</si>
  <si>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>ASEC_EAEPEDCOG_2doTRIM_T0</t>
  </si>
  <si>
    <t xml:space="preserve">Clasificación por Objeto del Gasto (Capítulo y Concepto) </t>
  </si>
  <si>
    <t xml:space="preserve">Servicios Personales </t>
  </si>
  <si>
    <t>Remuneraciones al Personal de Carácter Transitorio</t>
  </si>
  <si>
    <t>Previsiones</t>
  </si>
  <si>
    <t>Pago de Estímulos a Servidores Públicos</t>
  </si>
  <si>
    <t>Materias Primas y Materiales de Producción y Comercialización</t>
  </si>
  <si>
    <t>Materiales y Artículos de Construcción y de Reparación</t>
  </si>
  <si>
    <t>Vestuario, Blancos, Prendas de Protección y Artículos Deportivos</t>
  </si>
  <si>
    <t>Materiales y Suministros Para Seguridad</t>
  </si>
  <si>
    <t>Herramientas, Refacciones y Accesorios Menores</t>
  </si>
  <si>
    <t>Servicios de Comunicación Social y Publicidad</t>
  </si>
  <si>
    <t xml:space="preserve"> Servicios de Traslado y Viáticos</t>
  </si>
  <si>
    <t xml:space="preserve">Transferencias, Asignaciones, Subsidios y Otras Ayudas 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</si>
  <si>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</si>
  <si>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</si>
  <si>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</si>
  <si>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</si>
  <si>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</si>
  <si>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</si>
  <si>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</si>
  <si>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</si>
  <si>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</si>
  <si>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</si>
  <si>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</si>
  <si>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</si>
  <si>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</si>
  <si>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</si>
  <si>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</si>
  <si>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</si>
  <si>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</si>
  <si>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</si>
  <si>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</si>
  <si>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</si>
  <si>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</si>
  <si>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</si>
  <si>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</si>
  <si>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Deuda Pública</t>
  </si>
  <si>
    <t>Amortización de la Deuda Pública</t>
  </si>
  <si>
    <t>Adeudos de Ejercicios Fiscales Anteriores (ADEFAS)</t>
  </si>
  <si>
    <t>ASEC_EAEPEDCF_2doTRIM_F2</t>
  </si>
  <si>
    <t xml:space="preserve">Desarrollo Económico </t>
  </si>
  <si>
    <t>Transferencias, Participaciones y Aportaciones Entre Diferentes Niveles y Ordenes de Gobierno</t>
  </si>
  <si>
    <t xml:space="preserve">Identificación de Crédito o Instrumento </t>
  </si>
  <si>
    <t xml:space="preserve">Contratación / Colocación </t>
  </si>
  <si>
    <t xml:space="preserve">Amortización </t>
  </si>
  <si>
    <t>Total de Créditos Bancarios</t>
  </si>
  <si>
    <t>Impuestos federales</t>
  </si>
  <si>
    <t>Retención de cuotas del Instituto Chihuahuense de Salud</t>
  </si>
  <si>
    <t>Pagos anticipados de clientes</t>
  </si>
  <si>
    <t>Flujo de Fondos</t>
  </si>
  <si>
    <t>Ingresos</t>
  </si>
  <si>
    <t>Total de Ingresos</t>
  </si>
  <si>
    <t>Total de Egresos</t>
  </si>
  <si>
    <t>Superávit</t>
  </si>
  <si>
    <t>ASEC_ESFD_2doTRIM_O2</t>
  </si>
  <si>
    <t>Estado de Situación Financiera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</si>
  <si>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</si>
  <si>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</si>
  <si>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</si>
  <si>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</si>
  <si>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</si>
  <si>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</si>
  <si>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</si>
  <si>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</si>
  <si>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</si>
  <si>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</si>
  <si>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</si>
  <si>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</si>
  <si>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</si>
  <si>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</si>
  <si>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</si>
  <si>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</si>
  <si>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</si>
  <si>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</si>
  <si>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</si>
  <si>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</si>
  <si>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</si>
  <si>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</si>
  <si>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</si>
  <si>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</si>
  <si>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</si>
  <si>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</si>
  <si>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</si>
  <si>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</si>
  <si>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</si>
  <si>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</si>
  <si>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</si>
  <si>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</si>
  <si>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</si>
  <si>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</si>
  <si>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</si>
  <si>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</si>
  <si>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</si>
  <si>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</si>
  <si>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</si>
  <si>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</si>
  <si>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</si>
  <si>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</si>
  <si>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</si>
  <si>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</si>
  <si>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</si>
  <si>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</si>
  <si>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</si>
  <si>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</si>
  <si>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</si>
  <si>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</si>
  <si>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</si>
  <si>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</si>
  <si>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</si>
  <si>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</si>
  <si>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</si>
  <si>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</si>
  <si>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</si>
  <si>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</si>
  <si>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</si>
  <si>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</si>
  <si>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</si>
  <si>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</si>
  <si>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</si>
  <si>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</si>
  <si>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</si>
  <si>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</si>
  <si>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</si>
  <si>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</si>
  <si>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</si>
  <si>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</si>
  <si>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</si>
  <si>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</si>
  <si>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</si>
  <si>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</si>
  <si>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</si>
  <si>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</si>
  <si>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</si>
  <si>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</si>
  <si>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</si>
  <si>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</si>
  <si>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</si>
  <si>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</si>
  <si>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</si>
  <si>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</si>
  <si>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</si>
  <si>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</si>
  <si>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</si>
  <si>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</si>
  <si>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</si>
  <si>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</si>
  <si>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</si>
  <si>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</si>
  <si>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</si>
  <si>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</si>
  <si>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</si>
  <si>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</si>
  <si>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</si>
  <si>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</si>
  <si>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</si>
  <si>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</si>
  <si>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</si>
  <si>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</si>
  <si>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</si>
  <si>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</si>
  <si>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</si>
  <si>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</si>
  <si>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</si>
  <si>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</si>
  <si>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</si>
  <si>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</si>
  <si>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</si>
  <si>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</si>
  <si>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Balance Presupuestario - LDF</t>
  </si>
  <si>
    <t>Estimado/</t>
  </si>
  <si>
    <t>Recaudado/</t>
  </si>
  <si>
    <t>Aprobado (d)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</si>
  <si>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</si>
  <si>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</si>
  <si>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</si>
  <si>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</si>
  <si>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</si>
  <si>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</si>
  <si>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</si>
  <si>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</si>
  <si>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</si>
  <si>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</si>
  <si>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</si>
  <si>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</si>
  <si>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</si>
  <si>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</si>
  <si>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</si>
  <si>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</si>
  <si>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</si>
  <si>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</si>
  <si>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</si>
  <si>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</si>
  <si>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</si>
  <si>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</si>
  <si>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</si>
  <si>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</si>
  <si>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</si>
  <si>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</si>
  <si>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</si>
  <si>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</si>
  <si>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</si>
  <si>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</si>
  <si>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</si>
  <si>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</si>
  <si>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</si>
  <si>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ASEC_EAID_2doTRIM_V7</t>
  </si>
  <si>
    <t>Estado Analítico de Ingresos Detallado - LDF</t>
  </si>
  <si>
    <t>Concepto ( c )</t>
  </si>
  <si>
    <t>Diferencia (e)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</si>
  <si>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</si>
  <si>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</si>
  <si>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</si>
  <si>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</si>
  <si>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</si>
  <si>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</si>
  <si>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</si>
  <si>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</si>
  <si>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</si>
  <si>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</si>
  <si>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</si>
  <si>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</si>
  <si>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</si>
  <si>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</si>
  <si>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</si>
  <si>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</si>
  <si>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</si>
  <si>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</si>
  <si>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</si>
  <si>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</si>
  <si>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</si>
  <si>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</si>
  <si>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</si>
  <si>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</si>
  <si>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</si>
  <si>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</si>
  <si>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</si>
  <si>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</si>
  <si>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</si>
  <si>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</si>
  <si>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</si>
  <si>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</si>
  <si>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</si>
  <si>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</si>
  <si>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</si>
  <si>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</si>
  <si>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</si>
  <si>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</si>
  <si>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</si>
  <si>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</si>
  <si>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</si>
  <si>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</si>
  <si>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</si>
  <si>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</si>
  <si>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</si>
  <si>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</si>
  <si>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</si>
  <si>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</si>
  <si>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</si>
  <si>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</si>
  <si>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</si>
  <si>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</si>
  <si>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</si>
  <si>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</si>
  <si>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</si>
  <si>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</si>
  <si>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</si>
  <si>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</si>
  <si>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</si>
  <si>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</si>
  <si>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</si>
  <si>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</si>
  <si>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</si>
  <si>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</si>
  <si>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</si>
  <si>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</si>
  <si>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</si>
  <si>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</si>
  <si>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</si>
  <si>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</si>
  <si>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</si>
  <si>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</si>
  <si>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</si>
  <si>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</si>
  <si>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</si>
  <si>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</si>
  <si>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</si>
  <si>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</si>
  <si>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</si>
  <si>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</si>
  <si>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</si>
  <si>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</si>
  <si>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</si>
  <si>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</si>
  <si>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</si>
  <si>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</si>
  <si>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</si>
  <si>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</si>
  <si>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</si>
  <si>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</si>
  <si>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</si>
  <si>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</si>
  <si>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</si>
  <si>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</si>
  <si>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</si>
  <si>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</si>
  <si>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</si>
  <si>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</si>
  <si>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</si>
  <si>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</si>
  <si>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</si>
  <si>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</si>
  <si>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</si>
  <si>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</si>
  <si>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</si>
  <si>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</si>
  <si>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</si>
  <si>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</si>
  <si>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</si>
  <si>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</si>
  <si>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</si>
  <si>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</si>
  <si>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</si>
  <si>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</si>
  <si>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</si>
  <si>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</si>
  <si>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</si>
  <si>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</si>
  <si>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</si>
  <si>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</si>
  <si>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</si>
  <si>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</si>
  <si>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</si>
  <si>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</si>
  <si>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</si>
  <si>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</si>
  <si>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</si>
  <si>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</si>
  <si>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</si>
  <si>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</si>
  <si>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</si>
  <si>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</si>
  <si>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</si>
  <si>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</si>
  <si>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</si>
  <si>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</si>
  <si>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</si>
  <si>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</si>
  <si>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</si>
  <si>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</si>
  <si>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</si>
  <si>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</si>
  <si>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</si>
  <si>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ASEC_EAEPEDCA_2doTRIM_Z6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</si>
  <si>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</si>
  <si>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</si>
  <si>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</si>
  <si>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</si>
  <si>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</si>
  <si>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</si>
  <si>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</si>
  <si>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</si>
  <si>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</si>
  <si>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</si>
  <si>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SRC3103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</si>
  <si>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</si>
  <si>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</si>
  <si>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</si>
  <si>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</si>
  <si>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</si>
  <si>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</si>
  <si>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</si>
  <si>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</si>
  <si>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</si>
  <si>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</si>
  <si>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</si>
  <si>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</si>
  <si>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</si>
  <si>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</si>
  <si>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</si>
  <si>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</si>
  <si>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</si>
  <si>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</si>
  <si>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</si>
  <si>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</si>
  <si>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</si>
  <si>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</si>
  <si>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</si>
  <si>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</si>
  <si>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</si>
  <si>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</si>
  <si>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</si>
  <si>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</si>
  <si>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</si>
  <si>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</si>
  <si>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</si>
  <si>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</si>
  <si>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</si>
  <si>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</si>
  <si>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ASEC_EAEPEDCSPC_2doTRIM_Y9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</si>
  <si>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</si>
  <si>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</si>
  <si>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</si>
  <si>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</si>
  <si>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</si>
  <si>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</si>
  <si>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</si>
  <si>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</si>
  <si>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</si>
  <si>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</si>
  <si>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</si>
  <si>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</si>
  <si>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</si>
  <si>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</si>
  <si>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</si>
  <si>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1122-12044</t>
  </si>
  <si>
    <t>CONDUCTORES DE ENVASES ESPECIALIZADOS SA DE CV</t>
  </si>
  <si>
    <t>1124-10013</t>
  </si>
  <si>
    <t>SALDO A FAV IVA SEP 2020</t>
  </si>
  <si>
    <t>93564 B</t>
  </si>
  <si>
    <t>28/09/2020</t>
  </si>
  <si>
    <t>93402 B</t>
  </si>
  <si>
    <t>Jabil Circuit de Chihuahua S de R.L de C.V.</t>
  </si>
  <si>
    <t>93287 B</t>
  </si>
  <si>
    <t>93623 B</t>
  </si>
  <si>
    <t>93538 B</t>
  </si>
  <si>
    <t>93634 B</t>
  </si>
  <si>
    <t>93635 B</t>
  </si>
  <si>
    <t>93636 B</t>
  </si>
  <si>
    <t>93469 B</t>
  </si>
  <si>
    <t>93485 B</t>
  </si>
  <si>
    <t>93629 B</t>
  </si>
  <si>
    <t>93569 B</t>
  </si>
  <si>
    <t>93667 B</t>
  </si>
  <si>
    <t>30/09/2020</t>
  </si>
  <si>
    <t>93698 B</t>
  </si>
  <si>
    <t xml:space="preserve">CONDUCTORES DE ENVASES ESPECIALIZADOS SA DE </t>
  </si>
  <si>
    <t>93693 B</t>
  </si>
  <si>
    <t>93578 B</t>
  </si>
  <si>
    <t>MRC950121UW1</t>
  </si>
  <si>
    <t xml:space="preserve">B93698     </t>
  </si>
  <si>
    <t xml:space="preserve">B93667     </t>
  </si>
  <si>
    <t>CEE720608V98</t>
  </si>
  <si>
    <t xml:space="preserve">B93693     </t>
  </si>
  <si>
    <t xml:space="preserve">B93623     </t>
  </si>
  <si>
    <t xml:space="preserve">B93634     </t>
  </si>
  <si>
    <t xml:space="preserve">B93635     </t>
  </si>
  <si>
    <t xml:space="preserve">B93636     </t>
  </si>
  <si>
    <t xml:space="preserve">B93629     </t>
  </si>
  <si>
    <t xml:space="preserve">B93564     </t>
  </si>
  <si>
    <t xml:space="preserve">B93569     </t>
  </si>
  <si>
    <t xml:space="preserve">B93578     </t>
  </si>
  <si>
    <t xml:space="preserve">B93402     </t>
  </si>
  <si>
    <t xml:space="preserve">B93538     </t>
  </si>
  <si>
    <t xml:space="preserve">B93469     </t>
  </si>
  <si>
    <t xml:space="preserve">B93485     </t>
  </si>
  <si>
    <t>Jabil Circuit de Chihuahua S De R.L De C.V</t>
  </si>
  <si>
    <t>JCC000904KK2</t>
  </si>
  <si>
    <t xml:space="preserve">B93287     </t>
  </si>
  <si>
    <t>1122-12043</t>
  </si>
  <si>
    <t>SERVICIOS Y RECURSOS LOGISTICOS SA DE CV</t>
  </si>
  <si>
    <t>1122-12045</t>
  </si>
  <si>
    <t>COALIMEXSA ALIMENTOS MEXICANOS SA DE CV</t>
  </si>
  <si>
    <t>1122-12046</t>
  </si>
  <si>
    <t>COORDINADORA DE SERVICIOS SILVER STAR SA DE CV</t>
  </si>
  <si>
    <t>1122-12048</t>
  </si>
  <si>
    <t>MOMATT SA DE CV</t>
  </si>
  <si>
    <t>1122-12050</t>
  </si>
  <si>
    <t>CORPORATIVO GLOBAL SOLES DE ENERGIA RENOVABLE SA DE CV</t>
  </si>
  <si>
    <t>93976 B</t>
  </si>
  <si>
    <t>93940 B</t>
  </si>
  <si>
    <t>15/10/2020</t>
  </si>
  <si>
    <t>93929 B</t>
  </si>
  <si>
    <t>Material Constructor SA de CV</t>
  </si>
  <si>
    <t>93853 B</t>
  </si>
  <si>
    <t>93774 B</t>
  </si>
  <si>
    <t>94047 B</t>
  </si>
  <si>
    <t>94011 B</t>
  </si>
  <si>
    <t>GRUPO LARA VILLALOBOS SA DE CV</t>
  </si>
  <si>
    <t>94081 B</t>
  </si>
  <si>
    <t>94082 B</t>
  </si>
  <si>
    <t>94053 B</t>
  </si>
  <si>
    <t>ABASTOS Y DISTRIBUCIONES INSTITUCIONALES SA DE CV</t>
  </si>
  <si>
    <t>93978 B</t>
  </si>
  <si>
    <t>93975 B</t>
  </si>
  <si>
    <t>NO. CLIENTE</t>
  </si>
  <si>
    <t xml:space="preserve">B94081     </t>
  </si>
  <si>
    <t xml:space="preserve">B94082     </t>
  </si>
  <si>
    <t xml:space="preserve">B94047     </t>
  </si>
  <si>
    <t xml:space="preserve">B94053     </t>
  </si>
  <si>
    <t xml:space="preserve">B93976     </t>
  </si>
  <si>
    <t xml:space="preserve">B94011     </t>
  </si>
  <si>
    <t xml:space="preserve">B93975     </t>
  </si>
  <si>
    <t>ABASTOS Y DISTRIBUCIONES INSTITUCIONALES SA DE</t>
  </si>
  <si>
    <t>ADI991022KX2</t>
  </si>
  <si>
    <t xml:space="preserve">B93978     </t>
  </si>
  <si>
    <t xml:space="preserve">B93940     </t>
  </si>
  <si>
    <t xml:space="preserve">B93929     </t>
  </si>
  <si>
    <t>MCO990415AT0</t>
  </si>
  <si>
    <t xml:space="preserve">B93853     </t>
  </si>
  <si>
    <t>GLV9808149L0</t>
  </si>
  <si>
    <t xml:space="preserve">B93774     </t>
  </si>
  <si>
    <t>1122-12036</t>
  </si>
  <si>
    <t>1122-12047</t>
  </si>
  <si>
    <t>FIXTURAS INDUSTRIALES SA DE CV</t>
  </si>
  <si>
    <t>1122-12049</t>
  </si>
  <si>
    <t>JOISAN SA DE CV</t>
  </si>
  <si>
    <t>1122-12051</t>
  </si>
  <si>
    <t>DISEÑOS Y TRANSFORMACIONES METALICAS S DE RL DE CV</t>
  </si>
  <si>
    <t>1122-12052</t>
  </si>
  <si>
    <t>SUSPENSIONES Y REPRESENTACIONES SA DE CV</t>
  </si>
  <si>
    <t>1123-10015</t>
  </si>
  <si>
    <t>FONDO DE AHORRO MA. TERESA GARCIA TERRAZAS</t>
  </si>
  <si>
    <t>1124-10014</t>
  </si>
  <si>
    <t>SALDO A FAV IVA NOV 2020</t>
  </si>
  <si>
    <t>94167 B</t>
  </si>
  <si>
    <t>24/11/2020</t>
  </si>
  <si>
    <t>94590 B</t>
  </si>
  <si>
    <t>94442 B</t>
  </si>
  <si>
    <t>Importaciones La Llamarada SA de CV</t>
  </si>
  <si>
    <t>94319 B</t>
  </si>
  <si>
    <t>94461 B</t>
  </si>
  <si>
    <t>94383 B</t>
  </si>
  <si>
    <t>94548 B</t>
  </si>
  <si>
    <t>94549 B</t>
  </si>
  <si>
    <t>94550 B</t>
  </si>
  <si>
    <t>94551 B</t>
  </si>
  <si>
    <t>94481 B</t>
  </si>
  <si>
    <t>94362 B</t>
  </si>
  <si>
    <t xml:space="preserve">B94590     </t>
  </si>
  <si>
    <t xml:space="preserve">B94548     </t>
  </si>
  <si>
    <t xml:space="preserve">B94549     </t>
  </si>
  <si>
    <t xml:space="preserve">B94550     </t>
  </si>
  <si>
    <t xml:space="preserve">B94551     </t>
  </si>
  <si>
    <t xml:space="preserve">B94442     </t>
  </si>
  <si>
    <t xml:space="preserve">B94461     </t>
  </si>
  <si>
    <t xml:space="preserve">B94383     </t>
  </si>
  <si>
    <t>DISTRIBUCIONES INTERNACIONALES AMERICA SA DE C</t>
  </si>
  <si>
    <t>DIA040908EB5</t>
  </si>
  <si>
    <t xml:space="preserve">B94481     </t>
  </si>
  <si>
    <t xml:space="preserve">B94167     </t>
  </si>
  <si>
    <t>ILA050518K8A</t>
  </si>
  <si>
    <t xml:space="preserve">B94319     </t>
  </si>
  <si>
    <t>AAOC670206J34</t>
  </si>
  <si>
    <t xml:space="preserve">B94362     </t>
  </si>
  <si>
    <t>Descripcion_del_inmueble</t>
  </si>
  <si>
    <t>Calle</t>
  </si>
  <si>
    <t>Numero</t>
  </si>
  <si>
    <t xml:space="preserve">Ubicación </t>
  </si>
  <si>
    <t xml:space="preserve">PARQUE INDUSTRIAL </t>
  </si>
  <si>
    <t>Tipo</t>
  </si>
  <si>
    <t>Superficie</t>
  </si>
  <si>
    <t>Inscripcion_en_el_RPP</t>
  </si>
  <si>
    <t>Clave_catastral</t>
  </si>
  <si>
    <t>Acto Jurídico</t>
  </si>
  <si>
    <t>MZNA 2</t>
  </si>
  <si>
    <t>LOTE 11 B</t>
  </si>
  <si>
    <t>USO PROPIO</t>
  </si>
  <si>
    <t>I. 143 - F. 10- L.1782 MORELOS</t>
  </si>
  <si>
    <t>320-014-009</t>
  </si>
  <si>
    <t>DONACION</t>
  </si>
  <si>
    <t>MZNA 7</t>
  </si>
  <si>
    <t>LOTE 9A-1</t>
  </si>
  <si>
    <t>I. 148 - F. 10- L.1787 MORELOS</t>
  </si>
  <si>
    <t>MZNA 9</t>
  </si>
  <si>
    <t>LOTE 13 A</t>
  </si>
  <si>
    <t>I. 1083 - F. 63- L.1902 MORELOS</t>
  </si>
  <si>
    <t>MZNA 10</t>
  </si>
  <si>
    <t>LOTE D</t>
  </si>
  <si>
    <t>I. 152 - F.9- L.1791  MORELOS</t>
  </si>
  <si>
    <t>MZNA 14</t>
  </si>
  <si>
    <t>LOTE 15</t>
  </si>
  <si>
    <t>I. 159 - F.10- L.1798 MORELOS</t>
  </si>
  <si>
    <t>N/A</t>
  </si>
  <si>
    <t>LEON TOLSTOI M-14</t>
  </si>
  <si>
    <t>L.16 Y 17</t>
  </si>
  <si>
    <t>LOTE 19</t>
  </si>
  <si>
    <t>LOTE 20</t>
  </si>
  <si>
    <t>MZNA 15</t>
  </si>
  <si>
    <t>LOTE 1B</t>
  </si>
  <si>
    <t>CANCHAS DEPOR.</t>
  </si>
  <si>
    <t>I. 160 - F.11- L.1799 MORELOS</t>
  </si>
  <si>
    <t xml:space="preserve">RESERVA. </t>
  </si>
  <si>
    <t>I. 1086 - F. 67- L.1905 MORELOS</t>
  </si>
  <si>
    <t>COLON</t>
  </si>
  <si>
    <t xml:space="preserve">RESERVA TERR. </t>
  </si>
  <si>
    <t>I. 60 - F. 60- L.5032MORELOS</t>
  </si>
  <si>
    <t>461-002-012</t>
  </si>
  <si>
    <t>I.6 - F.6 - L.4845 MORELOS</t>
  </si>
  <si>
    <t>320-014-001</t>
  </si>
  <si>
    <t>PARQUE INDUSTRIAL CHIH. SUR</t>
  </si>
  <si>
    <t>RESERVA</t>
  </si>
  <si>
    <t xml:space="preserve">I. 72 - F. 72- L. 4555 MORELOS </t>
  </si>
  <si>
    <t>996-004-093</t>
  </si>
  <si>
    <t>PARCELAS 20,102</t>
  </si>
  <si>
    <t>22,69,6,18,19</t>
  </si>
  <si>
    <t>PARCELAS 25 Z</t>
  </si>
  <si>
    <t>P 1/1</t>
  </si>
  <si>
    <t>ENTRE PARCELA92</t>
  </si>
  <si>
    <t>Y PARCELA 98</t>
  </si>
  <si>
    <t>PARCELA</t>
  </si>
  <si>
    <t>TABALAOPA PARQUE SUR</t>
  </si>
  <si>
    <t>PARCELAS 242 Z-2</t>
  </si>
  <si>
    <t>P 2/2</t>
  </si>
  <si>
    <t>PARCELAS 241Z-2</t>
  </si>
  <si>
    <t>PARCELA 212</t>
  </si>
  <si>
    <t>CONCORDIA PARQUE SUR</t>
  </si>
  <si>
    <t>I. 74 - F.74-  L. 4116 MORELOS</t>
  </si>
  <si>
    <t>967-005-050</t>
  </si>
  <si>
    <t>MZNA 4</t>
  </si>
  <si>
    <t>LOTE 3</t>
  </si>
  <si>
    <t>PARQUE IND. AEROPUERTO</t>
  </si>
  <si>
    <t xml:space="preserve">I. 721 - F. 38- L. 1721 BRAVOS </t>
  </si>
  <si>
    <t xml:space="preserve">MZNA 7 Y 8 </t>
  </si>
  <si>
    <t>LOTE S/N</t>
  </si>
  <si>
    <t>I. 721 - F. 38- L. 1721 BRAVOS</t>
  </si>
  <si>
    <t>RESERVA EL CANTON</t>
  </si>
  <si>
    <t xml:space="preserve">I. 485- F. 30 - L.2325 BRAVOS </t>
  </si>
  <si>
    <t>01-818-001-002</t>
  </si>
  <si>
    <t xml:space="preserve">I. 486 - F. 31- L. 2326 BRAVOS </t>
  </si>
  <si>
    <t>01-818-001-001</t>
  </si>
  <si>
    <t>ZARAGOZA (Donacion SDUE 2004)</t>
  </si>
  <si>
    <t>RESERVA ZARAGOZA (YONKEROS)</t>
  </si>
  <si>
    <t xml:space="preserve">I. 114 - F. 114 L. 3950  BRAVOS. </t>
  </si>
  <si>
    <t>01-819-014-004</t>
  </si>
  <si>
    <t>JERÓNIMO Ciudad Juárez adq 2004</t>
  </si>
  <si>
    <t>RESERVA SN JERONIMO</t>
  </si>
  <si>
    <t xml:space="preserve">I. 68 - F. 68 L. 3858  BRAVOS. </t>
  </si>
  <si>
    <t>01-717-003-004</t>
  </si>
  <si>
    <t>BAJA 90,000 M2 VENTA BRP</t>
  </si>
  <si>
    <t>MZNA 1</t>
  </si>
  <si>
    <t>LOTE  1B</t>
  </si>
  <si>
    <t>PARQUE IND. CUAUHTÉMOC</t>
  </si>
  <si>
    <t>I. 49 - F. 49- L. 538 BENITO JUÁREZ</t>
  </si>
  <si>
    <t>0047-002-899</t>
  </si>
  <si>
    <t>LOTE 6B</t>
  </si>
  <si>
    <t>LOTE 7</t>
  </si>
  <si>
    <t>LOTE 7A</t>
  </si>
  <si>
    <t>MZNA 3</t>
  </si>
  <si>
    <t>LOTE 5</t>
  </si>
  <si>
    <t>I. 41 - F.41- L.538   BENITO JUÁREZ</t>
  </si>
  <si>
    <t>LOTE 6</t>
  </si>
  <si>
    <t>LOTE 8</t>
  </si>
  <si>
    <t>LOTE 9</t>
  </si>
  <si>
    <t>LOTE 4A</t>
  </si>
  <si>
    <t>I. 93 - F. 75- L. 300 BENITO JUÁREZ</t>
  </si>
  <si>
    <t>MZNA 6</t>
  </si>
  <si>
    <t>LOTE 2 B</t>
  </si>
  <si>
    <t>I. 22 - F. 17- L. 269 BENITO JUÁREZ</t>
  </si>
  <si>
    <t>LOTE 4</t>
  </si>
  <si>
    <t>COMODATO</t>
  </si>
  <si>
    <t>LOTE 2B</t>
  </si>
  <si>
    <t>I. 42 - F. 42- L. 538 BENITO JUÁREZ</t>
  </si>
  <si>
    <t>DACION EN PAGO</t>
  </si>
  <si>
    <t>MZNA 8</t>
  </si>
  <si>
    <t>LOTE 1</t>
  </si>
  <si>
    <t>I. 44- F. 44- L. 538 BENITO JUÁREZ</t>
  </si>
  <si>
    <t xml:space="preserve">MZNA 8 </t>
  </si>
  <si>
    <t>LOTE 2</t>
  </si>
  <si>
    <t>I. 141 - F. 103- L. 256 BENITO JUÁREZ</t>
  </si>
  <si>
    <t>LOTE 5A</t>
  </si>
  <si>
    <t>VIALIDAD</t>
  </si>
  <si>
    <t>INTERNA</t>
  </si>
  <si>
    <t>SEGUNDA</t>
  </si>
  <si>
    <t>ETAPA</t>
  </si>
  <si>
    <t>RESERVA TERR</t>
  </si>
  <si>
    <t>I. 90- F. 93- L. 838 BENITO JUÁREZ</t>
  </si>
  <si>
    <t>MZNA 5</t>
  </si>
  <si>
    <t>PARQUE PARRAL 1a ETAPA</t>
  </si>
  <si>
    <t>I. 394 - F. 159- L. 423 HIDALGO</t>
  </si>
  <si>
    <t>501-003-050</t>
  </si>
  <si>
    <t>LOTE 10</t>
  </si>
  <si>
    <t>LOTE 1-A</t>
  </si>
  <si>
    <t xml:space="preserve">MZNA 7 </t>
  </si>
  <si>
    <t>PARQUE PARRAL 2a ETAPA</t>
  </si>
  <si>
    <t>I. 181 - F. 96- L. 429 HIDALGO</t>
  </si>
  <si>
    <t>I. 1263 - F. 131- L. 397 HIDALGO</t>
  </si>
  <si>
    <t>PARRAL Planta Metalurgica Parral</t>
  </si>
  <si>
    <t>KM 4</t>
  </si>
  <si>
    <t>CARR ESMERALDA</t>
  </si>
  <si>
    <t xml:space="preserve"> EJIDO LA ALMANCEÑA</t>
  </si>
  <si>
    <t>PLANTA MET.</t>
  </si>
  <si>
    <t>I. 110 - F.114 - L. 867 HIDALGO</t>
  </si>
  <si>
    <t>000-001-107</t>
  </si>
  <si>
    <t>AVE. CENTAURO DEL NTE</t>
  </si>
  <si>
    <t>I.42- F-98- L.  295 HIDALGO</t>
  </si>
  <si>
    <t>000-000-000</t>
  </si>
  <si>
    <t>LOTE 2A</t>
  </si>
  <si>
    <t>I. 106 - F. 107- L. 406 GALEANA</t>
  </si>
  <si>
    <t>020-099-001</t>
  </si>
  <si>
    <t>I. 107 - F. 108- L. 406 GALEANA</t>
  </si>
  <si>
    <t>I. 108 - F. 109- L. 406 GALEANA</t>
  </si>
  <si>
    <t>LOTE 8B</t>
  </si>
  <si>
    <t>LOTE 1 -8</t>
  </si>
  <si>
    <t>I. 109- F. 110- L. 406 GALEANA</t>
  </si>
  <si>
    <t>I. 110 - F. 111- L. 406 GALEANA</t>
  </si>
  <si>
    <t xml:space="preserve">MZNA 6 </t>
  </si>
  <si>
    <t>I. 111 - F. 112- L. 406 GALEANA</t>
  </si>
  <si>
    <t>I. 112 - F. 113- L. 406 GALEANA</t>
  </si>
  <si>
    <t>I. 113 - F. 114- L. 406 GALEANA</t>
  </si>
  <si>
    <t>MZNA 11</t>
  </si>
  <si>
    <t>FUERA DEL PARQUE PAQUIME</t>
  </si>
  <si>
    <t>I. 115 - F. 114- L. 406 GALEANA</t>
  </si>
  <si>
    <t>MZNA 12-A</t>
  </si>
  <si>
    <t>I. 117 - F. 118- L. 406 GALEANA</t>
  </si>
  <si>
    <t>MZNA Z1</t>
  </si>
  <si>
    <t>FRACC L.54</t>
  </si>
  <si>
    <t xml:space="preserve">COL. ADOLFO ORIVE </t>
  </si>
  <si>
    <t>I.50- F. 54- L. 595 ABRAHAM GLZ.</t>
  </si>
  <si>
    <t>999-027-00</t>
  </si>
  <si>
    <t>NAICA/SAUCILLO</t>
  </si>
  <si>
    <t>I. 103- F.107-L.394 SAUCILLO</t>
  </si>
  <si>
    <t>RESERVA TERR.</t>
  </si>
  <si>
    <t>I. 80- F.83-L.404 SAUCILLO</t>
  </si>
  <si>
    <t>I. 70- F.72-L.689  BENITO JUÁREZ</t>
  </si>
  <si>
    <t>999-010-1248</t>
  </si>
  <si>
    <t>I. 44- F.44-L.194  BENITO JUÁREZ</t>
  </si>
  <si>
    <t>999-010-1183</t>
  </si>
  <si>
    <t>999-010-1247</t>
  </si>
  <si>
    <t>ANAHUAC -PARCELA P-460</t>
  </si>
  <si>
    <t>EN TRÁMITE</t>
  </si>
  <si>
    <t>NORMAL</t>
  </si>
  <si>
    <t>ANAHUAC -PARCELA P-451</t>
  </si>
  <si>
    <t>ANAHUAC -PARCELA P-455</t>
  </si>
  <si>
    <t xml:space="preserve">PUERTO PALOMAS, MPIO DE ASCENSIÓN </t>
  </si>
  <si>
    <t xml:space="preserve">I. 40 - F. 40 - L. 554 - 1RA., GALEANA </t>
  </si>
  <si>
    <t>008-017-004</t>
  </si>
  <si>
    <t xml:space="preserve">I. 43 - F. 43 - L. 554 - 1RA., GALEANA </t>
  </si>
  <si>
    <t>008-024-006</t>
  </si>
  <si>
    <t xml:space="preserve">I. 13 - F. 13 - L. 554 - 1RA., GALEANA </t>
  </si>
  <si>
    <t>008-017-006</t>
  </si>
  <si>
    <t xml:space="preserve">I. 46 - F. 46 - L. 554 - 1RA., GALEANA </t>
  </si>
  <si>
    <t>008-023-002</t>
  </si>
  <si>
    <t xml:space="preserve">I. 36 - F. 36 - L. 554 - 1RA., GALEANA </t>
  </si>
  <si>
    <t>008-024-002</t>
  </si>
  <si>
    <t xml:space="preserve">I. 35 - F. 35 - L. 554 - 1RA., GALEANA </t>
  </si>
  <si>
    <t>008-023-008</t>
  </si>
  <si>
    <t xml:space="preserve">I. 34 - F. 34 - L. 554 - 1RA., GALEANA </t>
  </si>
  <si>
    <t>008-018-001</t>
  </si>
  <si>
    <t xml:space="preserve">I. 33 - F. 33 - L. 554 - 1RA., GALEANA </t>
  </si>
  <si>
    <t>008-011-001</t>
  </si>
  <si>
    <t xml:space="preserve">I. 51 - F. 51 - L. 554 - 1RA., GALEANA </t>
  </si>
  <si>
    <t>008-024-003</t>
  </si>
  <si>
    <t xml:space="preserve">I. 27 - F. 27 - L. 554 - 1RA., GALEANA </t>
  </si>
  <si>
    <t>008-004-001</t>
  </si>
  <si>
    <t xml:space="preserve">I. 68 - F. 69 - L. 576 - 1RA., GALEANA </t>
  </si>
  <si>
    <t>000-001-635</t>
  </si>
  <si>
    <t xml:space="preserve">EL BERRENDO, MPIO. DE JANOS </t>
  </si>
  <si>
    <t xml:space="preserve">I. 34 - F. 34 - L. 588 - 1RA., GALEANA </t>
  </si>
  <si>
    <t>126,827.90  A INDAABIN</t>
  </si>
  <si>
    <t xml:space="preserve"> ALDAMA</t>
  </si>
  <si>
    <t>I. 74 - F. 74- L. 4886  MORELOS</t>
  </si>
  <si>
    <t>000-004-913</t>
  </si>
  <si>
    <t>I. 99- F.99-L.348 CAMARGO</t>
  </si>
  <si>
    <t>10-17-67</t>
  </si>
  <si>
    <t>Z1</t>
  </si>
  <si>
    <t>I. 114 - F. 114- L. 670 ABRAHAM GLZ</t>
  </si>
  <si>
    <t>051-002-005</t>
  </si>
  <si>
    <t>I. 40 - F. 40- L. 738 ABRAHAM GLZ</t>
  </si>
  <si>
    <t>990-021-009</t>
  </si>
  <si>
    <t>N/D</t>
  </si>
  <si>
    <t>I. 40- F. 40- L. 738 ABRAHAM GLZ</t>
  </si>
  <si>
    <t>LOTE 1 F.A</t>
  </si>
  <si>
    <t>I. 91- F. 92- L. 653 ABRAHAM GLZ</t>
  </si>
  <si>
    <t>051-002-027</t>
  </si>
  <si>
    <t>I. 109- F. 109- L. 730 ABRAHAM GLZ</t>
  </si>
  <si>
    <t>051-002-014</t>
  </si>
  <si>
    <t>I. 556- F. 119- L. 250 ABRAHAM GLZ</t>
  </si>
  <si>
    <t>LOTE 54</t>
  </si>
  <si>
    <t>I.123- F.123- L.745 ABRAHAM GLZ</t>
  </si>
  <si>
    <t>999-027-000</t>
  </si>
  <si>
    <t>I. 29- F. 29- L. 704 ABRAHAM GLZ</t>
  </si>
  <si>
    <t>999-028-049</t>
  </si>
  <si>
    <t>PROMOTORA ROSALES lote 22 Donacion Gob del Edo Chihuahua Distrito de Riego 05</t>
  </si>
  <si>
    <t>MPIO ROSALAES, CHIH</t>
  </si>
  <si>
    <t>MAY. 2015</t>
  </si>
  <si>
    <t>I. 8- F.8-L.907  A. GLZ</t>
  </si>
  <si>
    <t>000-000-00</t>
  </si>
  <si>
    <t>Saldo pendiente de pago por préstamo no cubierto</t>
  </si>
  <si>
    <t>1122-12053</t>
  </si>
  <si>
    <t>IVEX PROTECTIVE PACKAGING S DE RL DE CV</t>
  </si>
  <si>
    <t>1122-12054</t>
  </si>
  <si>
    <t>OPERACION Y MANUFACTURA INTERCERAMIC SA DE CV</t>
  </si>
  <si>
    <t>1122-12056</t>
  </si>
  <si>
    <t>DISTRIBUCIONES AVIL SA DE CV</t>
  </si>
  <si>
    <t>1122-12058</t>
  </si>
  <si>
    <t>CADECO SA DE CV</t>
  </si>
  <si>
    <t>1122-12060</t>
  </si>
  <si>
    <t>GRUPO SAROYO SA DE CV</t>
  </si>
  <si>
    <t>1122-21098</t>
  </si>
  <si>
    <t>1124-10015</t>
  </si>
  <si>
    <t>SALDO A FAV IVA DIC 2020</t>
  </si>
  <si>
    <t>1236-2</t>
  </si>
  <si>
    <t>Edificación no Habitacional en Proceso</t>
  </si>
  <si>
    <t>1236-2-58313</t>
  </si>
  <si>
    <t>BODEGA ARCHIVO</t>
  </si>
  <si>
    <t>2119-10027</t>
  </si>
  <si>
    <t>DESARROLLA T DE MEXICO SA DE CV</t>
  </si>
  <si>
    <t>2119-10028</t>
  </si>
  <si>
    <t>ECOGAS MEXICO S DE RL DE CV</t>
  </si>
  <si>
    <t>2151-12025</t>
  </si>
  <si>
    <t>94865 B</t>
  </si>
  <si>
    <t>94744 B</t>
  </si>
  <si>
    <t>DHL EXPRESS MEXICO S.A DE C.V.</t>
  </si>
  <si>
    <t>94899 B</t>
  </si>
  <si>
    <t>94895 B</t>
  </si>
  <si>
    <t xml:space="preserve">B94899     </t>
  </si>
  <si>
    <t xml:space="preserve">B94895     </t>
  </si>
  <si>
    <t xml:space="preserve">B94865     </t>
  </si>
  <si>
    <t xml:space="preserve">B94744     </t>
  </si>
  <si>
    <t>DEM8801152E9</t>
  </si>
  <si>
    <t xml:space="preserve">Fecha y </t>
  </si>
  <si>
    <t xml:space="preserve">CUENTAS DE ORDEN PRESUPUESTARIAS </t>
  </si>
  <si>
    <t xml:space="preserve">LEY DE INGRESOS </t>
  </si>
  <si>
    <t xml:space="preserve">PRESUPUESTO DE EGRESOS </t>
  </si>
  <si>
    <t>PRESUPUESTO DE EGRESOS DEL EJERCICIO 2021 (ORIGINAL APROBADO)</t>
  </si>
  <si>
    <t>Desarenador y linea de agua del pozo numero dos</t>
  </si>
  <si>
    <t>Perforación de pozo número dos</t>
  </si>
  <si>
    <t>Construcción de la prolongación de la avenida Montealban</t>
  </si>
  <si>
    <t>INFRAESTRUCTURA Y ACTIVOS FIJOS</t>
  </si>
  <si>
    <t>Mercatek de México</t>
  </si>
  <si>
    <t>Total 2021</t>
  </si>
  <si>
    <t>y al 31 de diciembre de 2020</t>
  </si>
  <si>
    <t>2021</t>
  </si>
  <si>
    <t>2021 (d)</t>
  </si>
  <si>
    <t>31 de diciembre de 2020 (e)</t>
  </si>
  <si>
    <t>Hacienta Pública/Patrimonio Contribuido Neto 2020</t>
  </si>
  <si>
    <t>Hacienda Pública/Patrimonio Generado Neto 2020</t>
  </si>
  <si>
    <t>Exceso o Insuficiencia en la Actualización de la Hacienda Pública/Patrimonio Neto 2020</t>
  </si>
  <si>
    <t>Hacienda Pública/Patrimonio Neto Final del Ejercicio 2020</t>
  </si>
  <si>
    <t>Cambios en la Hacienda Pública/Patrimonio Neto del Ejercicio 2021</t>
  </si>
  <si>
    <t>Cambios en Exceso o Insuficiencia en la Actualización de la Hacienda Pública/Patrimonio Neto 2021</t>
  </si>
  <si>
    <t>Saldo Neto en la Hacienda Pública / Patrimonio 2021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</si>
  <si>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</si>
  <si>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</si>
  <si>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</si>
  <si>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</si>
  <si>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</si>
  <si>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</si>
  <si>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</si>
  <si>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 xml:space="preserve">BBVA </t>
  </si>
  <si>
    <t>BBVA</t>
  </si>
  <si>
    <t>DATOS DEL EJERCICIO 2021</t>
  </si>
  <si>
    <t>VOGA (Complejo Industrial Chihuahua, Parque Industrial Cuauhtémoc)</t>
  </si>
  <si>
    <t>Total mensual</t>
  </si>
  <si>
    <t>MIR Costo vigilancia</t>
  </si>
  <si>
    <t>MIR Costo mantenimiento</t>
  </si>
  <si>
    <t xml:space="preserve">Varios </t>
  </si>
  <si>
    <t>1112-10011</t>
  </si>
  <si>
    <t xml:space="preserve">Bancomer </t>
  </si>
  <si>
    <t>Cuenta no. 0116086306</t>
  </si>
  <si>
    <t>1112-10012</t>
  </si>
  <si>
    <t>BANCOMER 0116086306</t>
  </si>
  <si>
    <t>BANCOMER TD 1527997164</t>
  </si>
  <si>
    <t>1122-12055</t>
  </si>
  <si>
    <t>DEXTRA BTL GROUP, SAPI DE CV</t>
  </si>
  <si>
    <t>1122-12057</t>
  </si>
  <si>
    <t>NOVALIMENTOS DE MEXICO S DE RL DE CV</t>
  </si>
  <si>
    <t>1122-12062</t>
  </si>
  <si>
    <t>MEINS INDUSTRIES S DE RL DE CV</t>
  </si>
  <si>
    <t>1122-12063</t>
  </si>
  <si>
    <t>PEI EQUIPOS SA DE CV</t>
  </si>
  <si>
    <t>1122-12064</t>
  </si>
  <si>
    <t>QUESERIA AMERICA S DE PR DE RL DE CV</t>
  </si>
  <si>
    <t>1122-12065</t>
  </si>
  <si>
    <t>1122-51027</t>
  </si>
  <si>
    <t>LEAR MEXICAN TRIM OPERATION S DE RL DE CV</t>
  </si>
  <si>
    <t>1124-10016</t>
  </si>
  <si>
    <t>SALDO A FAV IVA ENE 2021</t>
  </si>
  <si>
    <t>2119-10029</t>
  </si>
  <si>
    <t>SERVICIOS BROXEL SAPI DE CV</t>
  </si>
  <si>
    <t>2151-11784</t>
  </si>
  <si>
    <t>2151-11802</t>
  </si>
  <si>
    <t>3210-2020</t>
  </si>
  <si>
    <t>Resultado del Ejercicio Actual 2020</t>
  </si>
  <si>
    <t>3220-02020</t>
  </si>
  <si>
    <t>RESULTADO EJERCICIO 2020</t>
  </si>
  <si>
    <t>3220-2020</t>
  </si>
  <si>
    <t>RESULTADO DE EJERCICIOS ANTERIORES 2020</t>
  </si>
  <si>
    <t>4173-1-20004</t>
  </si>
  <si>
    <t>VARIOS JUAREZ</t>
  </si>
  <si>
    <t>8120-73-1-20004</t>
  </si>
  <si>
    <t>8140-73-1-20004</t>
  </si>
  <si>
    <t>8150-73-1-20004</t>
  </si>
  <si>
    <t xml:space="preserve">Programa Fomento Industrial - Gasto Corriente </t>
  </si>
  <si>
    <t>0116086306</t>
  </si>
  <si>
    <t>Abarrotera del  Duero, SA de Cv</t>
  </si>
  <si>
    <t>Acelec Chihuahua, SA de CV</t>
  </si>
  <si>
    <t>Advanced Decorative Systems México, SA de CV</t>
  </si>
  <si>
    <t>Analia Padilla Soto</t>
  </si>
  <si>
    <t>Bauer Trophies SA de CV</t>
  </si>
  <si>
    <t>Bombardier Aerospace México, SA de CV</t>
  </si>
  <si>
    <t>Bridge Chemical Company, SA de CV</t>
  </si>
  <si>
    <t>Cadeco, SA de CV</t>
  </si>
  <si>
    <t>Cari Vision, SA deCV</t>
  </si>
  <si>
    <t>Castle Metals de México, SA de CV</t>
  </si>
  <si>
    <t>Ciklo Reciclados y Procesados, SRL de CV</t>
  </si>
  <si>
    <t>Coalimexsa Alimentos Mexicanos, SA de CV</t>
  </si>
  <si>
    <t>Coordinadora de Servicios Silver Star, SA de CV</t>
  </si>
  <si>
    <t>Dextra BTL Group, SAPI de CV</t>
  </si>
  <si>
    <t>Dinamaq Machining Solutions de México, SA de CV</t>
  </si>
  <si>
    <t>Diseños y Transformaciones Metálicas, S de R de CV</t>
  </si>
  <si>
    <t>Distribuciones AVIL, SA de CV</t>
  </si>
  <si>
    <t>DSI Undergruound Systems México, SA de CV</t>
  </si>
  <si>
    <t>El Capitan, SA de CV</t>
  </si>
  <si>
    <t>Fixturas Industriales Diversificadas, SA de CV</t>
  </si>
  <si>
    <t>Gamma Ingredientes, S de RLMI</t>
  </si>
  <si>
    <t>Grupo Saroyo, SA de CV</t>
  </si>
  <si>
    <t>Inmobiliaria Togarsa, SRL de CV</t>
  </si>
  <si>
    <t>Irving Luna Franco</t>
  </si>
  <si>
    <t>IVEX Protective Packaging S de R de CV</t>
  </si>
  <si>
    <t>Joisan, SA de CV</t>
  </si>
  <si>
    <t>Jorge Talamas Abbud</t>
  </si>
  <si>
    <t>Materiales Reciclables del Carmen, SA de CV</t>
  </si>
  <si>
    <t>Meins Industries, S de RLMI</t>
  </si>
  <si>
    <t>Momatt, SA de CV</t>
  </si>
  <si>
    <t>Montacargas Yale de México, SA de CV</t>
  </si>
  <si>
    <t>Novalimentos de México, S de RL de CV</t>
  </si>
  <si>
    <t>Omar Librado Graza López</t>
  </si>
  <si>
    <t xml:space="preserve">Operación y Manufactura Interceramic, SA de CV </t>
  </si>
  <si>
    <t>PEI Equipos, SA de CV</t>
  </si>
  <si>
    <t>Productora Procesadora Agricola de México, SA de CV</t>
  </si>
  <si>
    <t>Productos Lacteos Sanbuena, SA de CV</t>
  </si>
  <si>
    <t>PXT Manufacturing S de RLMI</t>
  </si>
  <si>
    <t>Quesería Ámerica, S de R de RL de CV</t>
  </si>
  <si>
    <t>Realty Proyects, S de RL de CV</t>
  </si>
  <si>
    <t>Ryder Capital S de RL de CV</t>
  </si>
  <si>
    <t>Serpro Nursing S RL de CV</t>
  </si>
  <si>
    <t>Servicios y Recursos Logisticos, SA de CV</t>
  </si>
  <si>
    <t>Suspenciones y Representaciones, SA de CV</t>
  </si>
  <si>
    <t>IGS Industrial Fund III, SAPI de CV</t>
  </si>
  <si>
    <t>Lear Mexican Trim Operations, S de RL de CV</t>
  </si>
  <si>
    <t>DART, SA DE CV</t>
  </si>
  <si>
    <t>Safran Cabin Tijuana, SA de CV</t>
  </si>
  <si>
    <t>ITM Internacional de Tecnologias Medicas, SA de CV</t>
  </si>
  <si>
    <t>95188 B</t>
  </si>
  <si>
    <t>95329 B</t>
  </si>
  <si>
    <t>Global Products Co. S.A. De C.V.</t>
  </si>
  <si>
    <t>95231 B</t>
  </si>
  <si>
    <t>95241 B</t>
  </si>
  <si>
    <t>ALTO TERRA S.A. DE C.V.</t>
  </si>
  <si>
    <t>95470 B</t>
  </si>
  <si>
    <t>95434 B</t>
  </si>
  <si>
    <t>95374 B</t>
  </si>
  <si>
    <t>MANTENIMIENTO INTEGRAL FINSA SA DE CV</t>
  </si>
  <si>
    <t>GPR031203C36</t>
  </si>
  <si>
    <t xml:space="preserve">B95470     </t>
  </si>
  <si>
    <t>NME081219RG7</t>
  </si>
  <si>
    <t xml:space="preserve">B95434     </t>
  </si>
  <si>
    <t xml:space="preserve">B95188     </t>
  </si>
  <si>
    <t xml:space="preserve">B95329     </t>
  </si>
  <si>
    <t xml:space="preserve">B95231     </t>
  </si>
  <si>
    <t xml:space="preserve">B95241     </t>
  </si>
  <si>
    <t>ATE161024K43</t>
  </si>
  <si>
    <t xml:space="preserve">B95374     </t>
  </si>
  <si>
    <t>1131-10121</t>
  </si>
  <si>
    <t>BANAMEX TC 5584 2654 8890 0095</t>
  </si>
  <si>
    <t>1122-11044</t>
  </si>
  <si>
    <t>INTEGRATED INTERNATIONAL SERVICES S DE RL DE CV</t>
  </si>
  <si>
    <t>1122-11251</t>
  </si>
  <si>
    <t>CIMAV (CENTRO DE INVEST.EN M)</t>
  </si>
  <si>
    <t>1122-11486</t>
  </si>
  <si>
    <t>INST. DE CAP. PARA EL TRAB. DEL EDO. DE CHIH.</t>
  </si>
  <si>
    <t>1122-11857</t>
  </si>
  <si>
    <t>OPERACION TECNICA INDUSTRIAL DE MANEJO DE ALMACENE</t>
  </si>
  <si>
    <t>1122-11930</t>
  </si>
  <si>
    <t>INST. DE CAP. PARA EL TRAB. DE CHIH</t>
  </si>
  <si>
    <t>1122-11999</t>
  </si>
  <si>
    <t>PUBLICO EN GENERAL</t>
  </si>
  <si>
    <t>1122-12039</t>
  </si>
  <si>
    <t>PRODUCTORA PROCESADORA AGRICOLA DE MEXICO SA DE CV</t>
  </si>
  <si>
    <t>1122-12042</t>
  </si>
  <si>
    <t>SAFRAN CABIN TIJUANA SA DE CV</t>
  </si>
  <si>
    <t>1122-12067</t>
  </si>
  <si>
    <t>SINTESIS Y FORMULACIONES DE ALTA TECNOLOGIA SA DE CV</t>
  </si>
  <si>
    <t>1122-12068</t>
  </si>
  <si>
    <t>ADMINISTRACION CNN CONDOMINIOS AC</t>
  </si>
  <si>
    <t>1122-21086</t>
  </si>
  <si>
    <t>1124-10017</t>
  </si>
  <si>
    <t>SALDO A FAV IVA FEB 2021</t>
  </si>
  <si>
    <t>1131-10002</t>
  </si>
  <si>
    <t>SISTEMA IAVE-OJILVIA CASTILLO</t>
  </si>
  <si>
    <t>2112-1-21201</t>
  </si>
  <si>
    <t>MATERIALES Y UTILES DE  IMPRESIÓN</t>
  </si>
  <si>
    <t>2112-1-21601</t>
  </si>
  <si>
    <t>MATERIAL DE LIMPIEZA</t>
  </si>
  <si>
    <t>2112-1-31201</t>
  </si>
  <si>
    <t>GAS</t>
  </si>
  <si>
    <t>2112-1-32901</t>
  </si>
  <si>
    <t>OTROS ARRENDAMIENTOS</t>
  </si>
  <si>
    <t>2112-1-35501</t>
  </si>
  <si>
    <t>REPARACIÓN Y MTTO EQUIPO DE TRANSPORTE</t>
  </si>
  <si>
    <t>2112-1-35701</t>
  </si>
  <si>
    <t>INST. REP. Y MTTO. DE MAQUINARIA</t>
  </si>
  <si>
    <t>2112-1-38501</t>
  </si>
  <si>
    <t>REUNIONES OFICIALES</t>
  </si>
  <si>
    <t>2151-11977</t>
  </si>
  <si>
    <t>5121-21201</t>
  </si>
  <si>
    <t>5121-21601</t>
  </si>
  <si>
    <t>5131-31201</t>
  </si>
  <si>
    <t>5132</t>
  </si>
  <si>
    <t>SERVICIOS DE ARRENDAMIENTO</t>
  </si>
  <si>
    <t>5132-32901</t>
  </si>
  <si>
    <t>5135-35501</t>
  </si>
  <si>
    <t>5135-35701</t>
  </si>
  <si>
    <t>5138-38501</t>
  </si>
  <si>
    <t>5599-10003</t>
  </si>
  <si>
    <t>COSTO DE VENTAS TERRENOS</t>
  </si>
  <si>
    <t>8240-14898-0102-03-26101-1</t>
  </si>
  <si>
    <t>8240-14898-0102-03-35101-1</t>
  </si>
  <si>
    <t>8240-14898-0102-04-26101-1</t>
  </si>
  <si>
    <t>8240-14898-0102-06-26101-1</t>
  </si>
  <si>
    <t>8240-14898-0102-06-35101-1</t>
  </si>
  <si>
    <t>8240-14898-0102-07-26101-1</t>
  </si>
  <si>
    <t>8240-14898-0103-02-35701-1</t>
  </si>
  <si>
    <t>8240-14898-0103-04-35701-1</t>
  </si>
  <si>
    <t>8240-14898-0201-01-21201-1</t>
  </si>
  <si>
    <t>8240-14898-0201-01-21601-1</t>
  </si>
  <si>
    <t>8240-14898-0201-01-31201-1</t>
  </si>
  <si>
    <t>8240-14898-0201-01-32901-1</t>
  </si>
  <si>
    <t>8240-14898-0201-01-35501-1</t>
  </si>
  <si>
    <t>8240-14898-0202-01-38501-1</t>
  </si>
  <si>
    <t>8250-14898-0102-03-26101-1</t>
  </si>
  <si>
    <t>8250-14898-0102-03-35101-1</t>
  </si>
  <si>
    <t>8250-14898-0102-04-26101-1</t>
  </si>
  <si>
    <t>8250-14898-0102-06-26101-1</t>
  </si>
  <si>
    <t>8250-14898-0102-06-35101-1</t>
  </si>
  <si>
    <t>8250-14898-0102-07-26101-1</t>
  </si>
  <si>
    <t>8250-14898-0103-02-35701-1</t>
  </si>
  <si>
    <t>8250-14898-0103-04-35701-1</t>
  </si>
  <si>
    <t>8250-14898-0201-01-21201-1</t>
  </si>
  <si>
    <t>8250-14898-0201-01-21601-1</t>
  </si>
  <si>
    <t>8250-14898-0201-01-31201-1</t>
  </si>
  <si>
    <t>8250-14898-0201-01-32901-1</t>
  </si>
  <si>
    <t>8250-14898-0201-01-35501-1</t>
  </si>
  <si>
    <t>8250-14898-0202-01-38501-1</t>
  </si>
  <si>
    <t>8260-14898-0102-03-26101-1</t>
  </si>
  <si>
    <t>8260-14898-0102-03-35101-1</t>
  </si>
  <si>
    <t>8260-14898-0102-04-26101-1</t>
  </si>
  <si>
    <t>8260-14898-0102-06-26101-1</t>
  </si>
  <si>
    <t>8260-14898-0102-06-35101-1</t>
  </si>
  <si>
    <t>8260-14898-0102-07-26101-1</t>
  </si>
  <si>
    <t>8260-14898-0103-02-35701-1</t>
  </si>
  <si>
    <t>8260-14898-0103-04-35701-1</t>
  </si>
  <si>
    <t>8260-14898-0201-01-21201-1</t>
  </si>
  <si>
    <t>8260-14898-0201-01-21601-1</t>
  </si>
  <si>
    <t>8260-14898-0201-01-31201-1</t>
  </si>
  <si>
    <t>8260-14898-0201-01-32901-1</t>
  </si>
  <si>
    <t>8260-14898-0201-01-35501-1</t>
  </si>
  <si>
    <t>8260-14898-0202-01-38501-1</t>
  </si>
  <si>
    <t>8270-14898-0102-03-26101-1</t>
  </si>
  <si>
    <t>8270-14898-0102-03-35101-1</t>
  </si>
  <si>
    <t>8270-14898-0102-04-26101-1</t>
  </si>
  <si>
    <t>8270-14898-0102-06-26101-1</t>
  </si>
  <si>
    <t>8270-14898-0102-06-35101-1</t>
  </si>
  <si>
    <t>8270-14898-0102-07-26101-1</t>
  </si>
  <si>
    <t>8270-14898-0103-02-35701-1</t>
  </si>
  <si>
    <t>8270-14898-0103-04-35701-1</t>
  </si>
  <si>
    <t>8270-14898-0201-01-21201-1</t>
  </si>
  <si>
    <t>8270-14898-0201-01-21601-1</t>
  </si>
  <si>
    <t>8270-14898-0201-01-31201-1</t>
  </si>
  <si>
    <t>8270-14898-0201-01-32901-1</t>
  </si>
  <si>
    <t>8270-14898-0201-01-35501-1</t>
  </si>
  <si>
    <t>Page 29</t>
  </si>
  <si>
    <t>8270-14898-0202-01-38501-1</t>
  </si>
  <si>
    <t>Page 30</t>
  </si>
  <si>
    <t>17/02/2021</t>
  </si>
  <si>
    <t>95610 B</t>
  </si>
  <si>
    <t>95809 B</t>
  </si>
  <si>
    <t>95702 B</t>
  </si>
  <si>
    <t>Ma. Merced de la Torre Jauregui</t>
  </si>
  <si>
    <t>95829 B</t>
  </si>
  <si>
    <t>95988 B</t>
  </si>
  <si>
    <t>95775 B</t>
  </si>
  <si>
    <t>95842 B</t>
  </si>
  <si>
    <t>95990 B</t>
  </si>
  <si>
    <t>95910 B</t>
  </si>
  <si>
    <t>95913 B</t>
  </si>
  <si>
    <t xml:space="preserve">B95988     </t>
  </si>
  <si>
    <t>ACC140213BA3</t>
  </si>
  <si>
    <t xml:space="preserve">B95990     </t>
  </si>
  <si>
    <t xml:space="preserve">B95910     </t>
  </si>
  <si>
    <t xml:space="preserve">B95913     </t>
  </si>
  <si>
    <t xml:space="preserve">B95809     </t>
  </si>
  <si>
    <t xml:space="preserve">B95702     </t>
  </si>
  <si>
    <t>TOJM5904065N8</t>
  </si>
  <si>
    <t xml:space="preserve">B95829     </t>
  </si>
  <si>
    <t xml:space="preserve">B95775     </t>
  </si>
  <si>
    <t xml:space="preserve">B95842     </t>
  </si>
  <si>
    <t xml:space="preserve">B95610     </t>
  </si>
  <si>
    <t>Blackhuming Bird (Parque Industrial Chihuahua Sur) feb-dic</t>
  </si>
  <si>
    <t>ANTICIPO A CONTRATISTAS POR OBRAS PÚBLICAS</t>
  </si>
  <si>
    <t>Paradas de camiones</t>
  </si>
  <si>
    <t>Construcción de Alumbrado</t>
  </si>
  <si>
    <t>1131-10125</t>
  </si>
  <si>
    <t>1125-10004</t>
  </si>
  <si>
    <t>1125-10005</t>
  </si>
  <si>
    <t>1122-12070</t>
  </si>
  <si>
    <t>AKITA AUTOMATICION S DE RL DE CV</t>
  </si>
  <si>
    <t>1122-12072</t>
  </si>
  <si>
    <t>MANTENIMIENTO E INSTALACIONES MINERAS SA DE CV</t>
  </si>
  <si>
    <t>JUAN LUIS LEE VAZQUEZ</t>
  </si>
  <si>
    <t>JOSE CARLOS ESTRADA CHAVEZ</t>
  </si>
  <si>
    <t>MUNICIPIO DE CHIHUAHUA</t>
  </si>
  <si>
    <t>1134</t>
  </si>
  <si>
    <t>ANTICIPO A CONTRATISTAS POR OBRAS PÚBLICAS A CORTO PLAZO</t>
  </si>
  <si>
    <t>1134-10001</t>
  </si>
  <si>
    <t>ING Y DISEÑO VAN COP-112-2020-P</t>
  </si>
  <si>
    <t>2119-10004</t>
  </si>
  <si>
    <t>PRESTAMOS FONDO DE AHORRO</t>
  </si>
  <si>
    <t>4173-1-30004</t>
  </si>
  <si>
    <t>VARIOS CUAUHTEMOC</t>
  </si>
  <si>
    <t>5594</t>
  </si>
  <si>
    <t>DIFERENCIAS POR TIPO DE CAMBIO NEGATIVAS</t>
  </si>
  <si>
    <t>5594-10001</t>
  </si>
  <si>
    <t>PERDIDA CAMBIARIA</t>
  </si>
  <si>
    <t>8120-73-1-30004</t>
  </si>
  <si>
    <t>8140-73-1-30004</t>
  </si>
  <si>
    <t>8150-73-1-30004</t>
  </si>
  <si>
    <t>8240-14898-0103-06-35701-1</t>
  </si>
  <si>
    <t>8250-14898-0103-06-35701-1</t>
  </si>
  <si>
    <t>8260-14898-0103-06-35701-1</t>
  </si>
  <si>
    <t>8270-14898-0103-06-35701-1</t>
  </si>
  <si>
    <t>96035 B</t>
  </si>
  <si>
    <t>96410 B</t>
  </si>
  <si>
    <t>96209 B</t>
  </si>
  <si>
    <t>96238 B</t>
  </si>
  <si>
    <t>96253 B</t>
  </si>
  <si>
    <t>96254 B</t>
  </si>
  <si>
    <t>96398 B</t>
  </si>
  <si>
    <t>96427 B</t>
  </si>
  <si>
    <t>96356 B</t>
  </si>
  <si>
    <t xml:space="preserve">B96427     </t>
  </si>
  <si>
    <t xml:space="preserve">B96410     </t>
  </si>
  <si>
    <t xml:space="preserve">B96398     </t>
  </si>
  <si>
    <t xml:space="preserve">B96356     </t>
  </si>
  <si>
    <t xml:space="preserve">B96209     </t>
  </si>
  <si>
    <t xml:space="preserve">B96238     </t>
  </si>
  <si>
    <t xml:space="preserve">B96253     </t>
  </si>
  <si>
    <t xml:space="preserve">B96254     </t>
  </si>
  <si>
    <t xml:space="preserve">B96035     </t>
  </si>
  <si>
    <t>Gobierno del Estado de Chihuahua  (DEPTO. DE C</t>
  </si>
  <si>
    <t>1112-10013</t>
  </si>
  <si>
    <t>Cuenta no. 7011-3980913</t>
  </si>
  <si>
    <t>BANAMEX 7011-3980913</t>
  </si>
  <si>
    <t>1122-11724</t>
  </si>
  <si>
    <t>PARQUES AMERICAS INDUSTRIES SA DE CV</t>
  </si>
  <si>
    <t>1122-12069</t>
  </si>
  <si>
    <t>SEGURIDAD GLOBAL INDUTRIAL SA DE CV</t>
  </si>
  <si>
    <t>1122-12074</t>
  </si>
  <si>
    <t>HRP CHIHUAHUA S DE RL DE CV</t>
  </si>
  <si>
    <t>1122-51028</t>
  </si>
  <si>
    <t>MIRIAM SUGEY SAENZ BENCOMO</t>
  </si>
  <si>
    <t>1122-51029</t>
  </si>
  <si>
    <t>ARMANDO VEGA DOMINGUEZ</t>
  </si>
  <si>
    <t>2112-1-000942</t>
  </si>
  <si>
    <t>2112-1-34901</t>
  </si>
  <si>
    <t>SERVICIOS FIN. BANC Y COMERCIALES</t>
  </si>
  <si>
    <t>2119-10030</t>
  </si>
  <si>
    <t>HILDA ESTELA GONZALEZ JURADO</t>
  </si>
  <si>
    <t>2151-11909</t>
  </si>
  <si>
    <t>2151-12046</t>
  </si>
  <si>
    <t>2151-12049</t>
  </si>
  <si>
    <t>4399-10002</t>
  </si>
  <si>
    <t>OTROS ING GRAVADOS</t>
  </si>
  <si>
    <t>5134-34901</t>
  </si>
  <si>
    <t>8120-79-02-10002</t>
  </si>
  <si>
    <t>8140-79-02-10002</t>
  </si>
  <si>
    <t>8150-79-02-10002</t>
  </si>
  <si>
    <t>8240-14898-0103-03-31301-1</t>
  </si>
  <si>
    <t>8240-14898-0103-04-31301-1</t>
  </si>
  <si>
    <t>8240-14898-0103-06-31301-1</t>
  </si>
  <si>
    <t>8240-14898-0201-01-34901-1</t>
  </si>
  <si>
    <t>8250-14898-0103-03-31301-1</t>
  </si>
  <si>
    <t>8250-14898-0103-04-31301-1</t>
  </si>
  <si>
    <t>8250-14898-0103-06-31301-1</t>
  </si>
  <si>
    <t>8250-14898-0201-01-34901-1</t>
  </si>
  <si>
    <t>8260-14898-0103-03-31301-1</t>
  </si>
  <si>
    <t>8260-14898-0103-04-31301-1</t>
  </si>
  <si>
    <t>8260-14898-0103-06-31301-1</t>
  </si>
  <si>
    <t>8260-14898-0201-01-34901-1</t>
  </si>
  <si>
    <t>8270-14898-0103-03-31301-1</t>
  </si>
  <si>
    <t>8270-14898-0103-04-31301-1</t>
  </si>
  <si>
    <t>8270-14898-0103-06-31301-1</t>
  </si>
  <si>
    <t>8270-14898-0201-01-34901-1</t>
  </si>
  <si>
    <t>Page 31</t>
  </si>
  <si>
    <t>POZO N° 1 JMAS M-2 L 11B (COMPLEJO IND CHIH)</t>
  </si>
  <si>
    <t>POZO N° 8 JMAS M-7 L 9A-1 (COMPLEJO IND CHIH)</t>
  </si>
  <si>
    <t>POZO N° 4 JMAS M-9 L 13A (COMPLEJO IND CHIH)</t>
  </si>
  <si>
    <t>POZO N°  6  M-10 L-D (COMPLEJO IND CHIH)</t>
  </si>
  <si>
    <t>EDIFICIO SDI  M-14 L-15 (COMPLEJO IND CHIH)</t>
  </si>
  <si>
    <t>LEON TOLSTOI  M-14 L. 16 Y 17 (COMPLEJO IND CHIH)</t>
  </si>
  <si>
    <t>EST. LEON TOLSTOI  M-14 L-19 (COMPLEJO IND CHIH)</t>
  </si>
  <si>
    <t>SE MZNA 14 LOTE 20 (COMPLEJO IND CHIH)</t>
  </si>
  <si>
    <t>CANCHAS DEPORTIVAS M-15 L 1B (COMPLEJO IND CHIH)</t>
  </si>
  <si>
    <t>Atrás ADUANA (COMPLEJO IND CHIH)</t>
  </si>
  <si>
    <t>AVE. COLÓN (COMPLEJO INS CHIH)</t>
  </si>
  <si>
    <t>Oficinas PRODECH (COMPLEJO IND CHIH)</t>
  </si>
  <si>
    <t>PROYECTO 1 (PARQUE IND. CHIH SUR)</t>
  </si>
  <si>
    <t>PROYECTO 3 (PARQUE IND. CHIH. SUR)</t>
  </si>
  <si>
    <t>RESERVA T (PARQUE IND. CHIH. SUR)</t>
  </si>
  <si>
    <t>EQUIPAMIENTO (PARQUE IND. CHIH. SUR)</t>
  </si>
  <si>
    <t>AREA M (PARQUE IND. CHIH. SUR)</t>
  </si>
  <si>
    <t>PARCELAS 20,102,22,41,29,69,6,18,19 (PARQUE IND CHIH SUR)</t>
  </si>
  <si>
    <t>parcela 25Z-1 P-1/1 (PARQUE IND CHIH SUR)</t>
  </si>
  <si>
    <t>ADQ. JULIO ORNELAS (PARQUE IND CHIH SUR)</t>
  </si>
  <si>
    <t>DONACION DE MPIO. DE CHIH. entre parcelas 92 y 98 (PARUQE IND CHIH SUR)</t>
  </si>
  <si>
    <t>DONACION DE MPIO. DE CHIH. parcela 92 (PARQUE IND CHIH SUR)</t>
  </si>
  <si>
    <t>PARCELAS 297, 227, 228, 238, 237 (PARQUE IND CHIH SUR)</t>
  </si>
  <si>
    <t>PARCELAS 242 Z-2 P2/2) escritura 15,356 (PARQUE IND CHIH SUR)</t>
  </si>
  <si>
    <t>PARCELA 241Z-2 P2/2) escritura 15,356 (PARQUE IND CHIH SUR)</t>
  </si>
  <si>
    <t>PARCELA 212 (PARQUE IND CHIH SUR)</t>
  </si>
  <si>
    <t>PARCELA 62 SEGREGACION A (PARQUE IND CHIH SUR)</t>
  </si>
  <si>
    <t>PARCELA 62 (PARQUE IND CHIH SUR)</t>
  </si>
  <si>
    <t>PARCELA Compra a Agustín López Daumas (RESERVA AEROPUERTO CHIH)</t>
  </si>
  <si>
    <t>POZO 1 (CON OFICINA MOVIL)  MZNA 4 LOTE 3 (PARQUE IND AEROPUERTO JUAREZ)</t>
  </si>
  <si>
    <t>POZO 2 MZNA 7 Y 8 LOTE S/N (PARQUE IND AEROPUERTO JUAREZ)</t>
  </si>
  <si>
    <t>POLIGONO A INCLUYE CERESO (EL CANTON SAMALAYUCA)</t>
  </si>
  <si>
    <t>POLIGONO B (EL CANTON SAMALAYUCA)</t>
  </si>
  <si>
    <t>PROMOTORA DONADO SDUYE (RESERVA ZARAGOZA JUAREZ "YONQUEROS")</t>
  </si>
  <si>
    <t>(INM. SAN JERONIMO JUAREZ)</t>
  </si>
  <si>
    <t>PROMOTORA MZNA 1 L 1-B POZO 1 (PARQUE IND CUAUHTEMOC)</t>
  </si>
  <si>
    <t>SERVIDUMBRE MZNA 2 - L 7 Servidumbre (PARQUE IND CUAUHTEMOC)</t>
  </si>
  <si>
    <t>PROMOTORA MZNA 2 - L7A (PARQUE IND CUAUHTEMOC)</t>
  </si>
  <si>
    <t>PROMOTORA BEISBOL (Por desincorporar) MZNA 3-L 5 (PARQUE IND CUAUHTEMOC)</t>
  </si>
  <si>
    <t>PROMOTORA BEISBOL (Por desincorporar) MZNA 3-L 6 (PARQUE IND CUAUHTEMOC)</t>
  </si>
  <si>
    <t xml:space="preserve"> PROMOTORA BEISBOL (Por desincorporar) MZNA 3- L 7 (PARQUE IND CUAUHTEMOC)</t>
  </si>
  <si>
    <t>PROMOTORA BEISBOL (Por desincorporar) MZNA 3- L 8 (PARQUE IND CUAUHTEMOC)</t>
  </si>
  <si>
    <t>PROMOTORA BEISBOL (Por desincorporar) MZNA 3 - L 9 (PARQUE IND CUAUHTEMOC)</t>
  </si>
  <si>
    <t>POZO 2 MZNA4 L-4-A (PARQUE IND CUAUHTEMOC)</t>
  </si>
  <si>
    <t>MZNA 6 L-2-B (PARQUE IND CUAUHTEMOC)</t>
  </si>
  <si>
    <t>MZNA 6 L-3 (PARQUE IND CUAUHTEMOC)</t>
  </si>
  <si>
    <t>(com a Quiroproductos) MZNA 6 L-4 (PARQUE IND CUAUHTEMOC)</t>
  </si>
  <si>
    <t>OFICINAS PROMOTORA MZNA 6 L2-B (PARQUE IND CUAUHTEMOC)</t>
  </si>
  <si>
    <t>MZNA 7 L 5 (PARQUE IND CUAUHTEMOC)</t>
  </si>
  <si>
    <t>MZNA 7 L 6 (PARQUE IND CUAUHTEMOC)</t>
  </si>
  <si>
    <t>MZNA 7 L 7 (PARQUE IND CUAUHTEMOC)</t>
  </si>
  <si>
    <t>MZNA 7 L 8 (PARQUE IND CUAUHTEMOC)</t>
  </si>
  <si>
    <t>MZNA 7 L 9 (PARQUE IND CUAUHTEMOC)</t>
  </si>
  <si>
    <t>MZNA 8 L1 (PARQUE IND CUAUHTEMOC)</t>
  </si>
  <si>
    <t>MZNA 8 L 2 (PARQUE IND CUAUHTEMOC)</t>
  </si>
  <si>
    <t>PROMOTORA BEISBOL (Por desincorporar) MZNA 8 L 4 (PARQUE IND CUAUHTEMOC)</t>
  </si>
  <si>
    <t>PROMOTORA BEISBOL (Por desincorporar) MZNA 8 L 5 (PARQUE IND CUAUHTEMOC)</t>
  </si>
  <si>
    <t>TANQUE ELEVADO MZNA 8 L 5A (PARQUE IND CUAUHTEMOC)</t>
  </si>
  <si>
    <t>PROMOTORA M8 L 6 (PARQUE IND CUAUHTEMOC)</t>
  </si>
  <si>
    <t>PROMOTORA BEISBOL (Por desincorporar) M8 L 7 (PARQUE IND CUAUHTEMOC)</t>
  </si>
  <si>
    <t>Vialidad interna P. Beisbol Por desincorporar (PARQUE IND CUAUHTEMOC)</t>
  </si>
  <si>
    <t>Permuta Consejo Empresarial Cuauh. 2E (PARQUE IND CUAUHTEMOC)</t>
  </si>
  <si>
    <t>MZNA 5 L 7 (PARQUE IND PARRAL)</t>
  </si>
  <si>
    <t>MZNA 5 L 8 (PARQUE IND PARRAL)</t>
  </si>
  <si>
    <t>MZNA 5 L 9 (PARQUE IND PARRAL)</t>
  </si>
  <si>
    <t>MZNA 5 L 10 (PARQUE IND PARRAL)</t>
  </si>
  <si>
    <t>MZNA 6 L 1 (PARQUE IND PARRAL)</t>
  </si>
  <si>
    <t>MZNA 7 L 1-A OFICINA PROMOTORA (PARQUE IND PARRAL)</t>
  </si>
  <si>
    <t>MZNA 7 L 4 (PARQUE IND PARRAL9</t>
  </si>
  <si>
    <t>MZNA 7 L 6 (PARQUE IND PARRAL)</t>
  </si>
  <si>
    <t>MZNA 7 L 7 (PARQUE IND PARRAL)</t>
  </si>
  <si>
    <t>MZNA 7 L 8 (PARQUE IND PARRAL)</t>
  </si>
  <si>
    <t>MZNA 7 L 9 (PARQUE IND PARRAL)</t>
  </si>
  <si>
    <t>TANQUE DE ALMACENAMIENTO 2A ETAPA (PARQUE IND PARRAL)</t>
  </si>
  <si>
    <t>(PARQUE IND PARRAL)</t>
  </si>
  <si>
    <t>DACIÓN EN PAGO,PAGO EN ESPECIE IMPULSORA COMERCIAL EL CAMINO AVE. CENTAURO DEL NTE COL. INFONAVIT REAL VICTORIA, PARRAL CHIH</t>
  </si>
  <si>
    <t>POZO Y TANQUE MZNA 2 L2-A (PARQUE IND PAQUIME)</t>
  </si>
  <si>
    <t>MZNA 3 L 1 (PARQUE IND PAQUIME)</t>
  </si>
  <si>
    <t>MZNA 3 L 6 (PARQUE IND PAQUIME)</t>
  </si>
  <si>
    <t>MZNA 3 L 7 (PARQUE IND PAQUIME)</t>
  </si>
  <si>
    <t>MZNA 3 L 8 (PARQUE IND PAQUIME)</t>
  </si>
  <si>
    <t>MZNA 3 L 9 (PARQUE IND PAQUIME)</t>
  </si>
  <si>
    <t>MZNA 4 L 3 (PARQUE IND PAQUIME)</t>
  </si>
  <si>
    <t>MZNA 4 L 4 (PARQUE IND PAQUIME)</t>
  </si>
  <si>
    <t>MZNA 4 L 5 (PARQUE IND PAQUIME)</t>
  </si>
  <si>
    <t>MZNA 4 L 6-B (PARQUE IND PAQUIME)</t>
  </si>
  <si>
    <t>MZNA 4 L 8-B (PARQUE IND PAQUIME)</t>
  </si>
  <si>
    <t>MZNA 5 L 1 AL 8 (PARQUE IND PAQUIME)</t>
  </si>
  <si>
    <t>MZNA 6 L 1 (PARQUE IND PAQUIME)</t>
  </si>
  <si>
    <t>MZNA 6 L 2 (PARQUE IND PAQUIME)</t>
  </si>
  <si>
    <t>MZNA 6 L 3 (PARQUE IND PAQUIME)</t>
  </si>
  <si>
    <t>MZNA 7 L 1 (PARQUE IND PAQUIME)</t>
  </si>
  <si>
    <t>MZNA 7 L 2 (PARQUE IND PAQUIME)</t>
  </si>
  <si>
    <t>MZNA 7 L 3 (PARQUE IND PAQUIME)</t>
  </si>
  <si>
    <t>MZNA 7 L 4 (PARQUE IND PAQUIME)</t>
  </si>
  <si>
    <t>MZNA 8 L 1 (PARQUE IND PAQUIME)</t>
  </si>
  <si>
    <t>MZNA 9 L 1 (PARQUE IND PAQUIME)</t>
  </si>
  <si>
    <t>MZNA 9 L 2 (PARQUE IND PAQUIME)</t>
  </si>
  <si>
    <t>MZNA 9 L 3 (PARQUE IND PAQUIME)</t>
  </si>
  <si>
    <t>MZNA 9 L 4 (PARQUE IND PAQUIME)</t>
  </si>
  <si>
    <t>MZNA 9 L 5 (PARQUE IND PAQUIME)</t>
  </si>
  <si>
    <t>MZNA 9 L 6 (PARQUE IND PAQUIME)</t>
  </si>
  <si>
    <t>MZNA 9 L 7 (PARQUE IND PAQUIME)</t>
  </si>
  <si>
    <t>MZNA 9 L 8 (PARQUE IND PAQUIME)</t>
  </si>
  <si>
    <t>MZNA 11 L 1 (NVO CASAS GDES)</t>
  </si>
  <si>
    <t>MZNA 12-A L 1 (NVO CASAS GDES)</t>
  </si>
  <si>
    <t>LOTE 54 CON  SERVIDUMBRE (NAICA)</t>
  </si>
  <si>
    <t>DERECHO DE VÍA (NAICA)</t>
  </si>
  <si>
    <t>DERECHO DE VÍA DUCTOS (NAICA)</t>
  </si>
  <si>
    <t>(NAICA)</t>
  </si>
  <si>
    <t>ESQUINA HORTALIZAS (NAICA)</t>
  </si>
  <si>
    <t>Adquisiciones y permutas (RESERVA ANAHUAC)</t>
  </si>
  <si>
    <t>Hidroponicos Centauro (RESERVA ANAHUAC)</t>
  </si>
  <si>
    <t>reversion terreno ACM (RESERVA ANAHUAC)</t>
  </si>
  <si>
    <t>Gustavo Arenivar Romero parcela 450 Z-1 P1/1 (RESERVA ANAHUAC)</t>
  </si>
  <si>
    <t>Isabel López Márquez (RESERVA ANAHUAC)</t>
  </si>
  <si>
    <t>Enrique Aranda Castillo (RESERVA ANAHUAC)</t>
  </si>
  <si>
    <t>ALMA IRENE SANCHEZ PORRAS esc. 5078 (RESERVA PALOMAS CRUCES FRONTERIZOS)</t>
  </si>
  <si>
    <t>MANUEL FLORES ORTEGA esc. 5077 (RESERVA PALOMAS CRUCES FRONTETRIZOS)</t>
  </si>
  <si>
    <t>ARIANA APODACA YAÑEZ esc. 5070 (RESERVA PALOMAS CRUCES FRONTERIZOS)</t>
  </si>
  <si>
    <t>EJIDO PUERTO DE PALOMAS Y VADO DE FUSILES esc. 5076 (RESERVA PALOMAS CRUCES FRONTERIZOS)</t>
  </si>
  <si>
    <t>MARIA GUADALUPE ORTIZ ENRIQUEZ esc. 5079 (RESERVA PALOMAS CRUCES FRONTERIZOS)</t>
  </si>
  <si>
    <t>EJIDO PUERTO DE PALOMAS Y VADO DE FUSILES esc. 5094 (RESERVA PALOMAS CRUCES FRONTERIZOS)</t>
  </si>
  <si>
    <t>EJIDO PUERTA DE PALOMAS Y VADO DE FUSILES esc. 5096 (RESERVA PALOMAS CRUCES FRONTERIZOS)</t>
  </si>
  <si>
    <t>EJIDO PUERTO DE PALOMAS Y VADO DE FUSILES esc. 5095 (RESERVA PALOMAS CRUCES FRONTERIZOS)</t>
  </si>
  <si>
    <t>MARTIN FLORES URBINA esc. 5066 (RESERVA PALOMAS CRUCES FRONTERIZOS)</t>
  </si>
  <si>
    <t>MARÍA LOURDES MORALES esc. 5065 (RESERVA PALOMAS CRUCES FRONTERIZOS)</t>
  </si>
  <si>
    <t>EJIDO PUERTA DE PALOMAS Y VADO DE FUSILES (PARCELA 46 Z-9 P1/1) Esc 8950 (RESERVA PALOMAS CRUCES FRONTERIZOS)</t>
  </si>
  <si>
    <t>PARCELA 47 Z-9 P1/1 (RESERVA PALOMAS CRUCES FRONTERIZOS)</t>
  </si>
  <si>
    <t>EZZIO JAQUEZ QUINTANAEsc 6302 (RESERVA EL BERRENDO CRUCES FRONTERIZOS)</t>
  </si>
  <si>
    <t>parque Insurgentes (ALDAMA)</t>
  </si>
  <si>
    <t>PROMOTORA INMOBILIARIA SACRAMENTO ESC. 8,322 (ALDAMA)</t>
  </si>
  <si>
    <t>LA NOGALERA (CAMARGO)</t>
  </si>
  <si>
    <t>EL SOLDADO (CAMARGO)</t>
  </si>
  <si>
    <t>PROYECTO KOHLER ESCRITURA 2323 Z1 54 (PARQUE INS DELICIAS)</t>
  </si>
  <si>
    <t>PROYECTO KOHLER (PARQUE INS DELICIAS)</t>
  </si>
  <si>
    <t xml:space="preserve">PARQUE INDUSTRIAL DELICIAS escritura 770 (PARQUE INS DELICIAS) </t>
  </si>
  <si>
    <t>TERRENO HONEYWELL 20 has (PARQUE INS DELICIAS)</t>
  </si>
  <si>
    <t>RODOLFO PARRA GALLEGOS ESC. 2,863 (PARQUE INS DELICIAS)</t>
  </si>
  <si>
    <t>PARQUE INDUSTRIAL DELICIAS (escritura 2,421) MZNA 5 LOTE 1 FRACC A (PARQUE INS DELICIAS)</t>
  </si>
  <si>
    <t>ADQ.FCO. JAVIER GARCÍA AVILA (PARQUE INS DELICIAS)</t>
  </si>
  <si>
    <t>SERV. DE ADMON Y ENAJ. DE BIENES M2 L1 (PARQUE INS DELICIAS)</t>
  </si>
  <si>
    <t xml:space="preserve"> MZNA Z1 LOTE 54 (PARQUE INS DELICIAS)</t>
  </si>
  <si>
    <t>OSCAR HUMBERTO TERRAZAS CARRASCO P. Lacteos (MICRO PARQUE LACTEOS DELICIAS)</t>
  </si>
  <si>
    <t>ROSALES lote 22 Donacion Gob del Edo Chihuahua Distrito de Riego 05 (ROSALES CHIH)</t>
  </si>
  <si>
    <t>96685 B</t>
  </si>
  <si>
    <t>16/04/2021</t>
  </si>
  <si>
    <t>96923 B</t>
  </si>
  <si>
    <t>96924 B</t>
  </si>
  <si>
    <t>96925 B</t>
  </si>
  <si>
    <t>96926 B</t>
  </si>
  <si>
    <t>96927 B</t>
  </si>
  <si>
    <t>96928 B</t>
  </si>
  <si>
    <t>96929 B</t>
  </si>
  <si>
    <t>96930 B</t>
  </si>
  <si>
    <t>19/04/2021</t>
  </si>
  <si>
    <t>96932 B</t>
  </si>
  <si>
    <t>96881 B</t>
  </si>
  <si>
    <t>96882 B</t>
  </si>
  <si>
    <t>96721 B</t>
  </si>
  <si>
    <t>96722 B</t>
  </si>
  <si>
    <t>96723 B</t>
  </si>
  <si>
    <t>96742 B</t>
  </si>
  <si>
    <t>IRVING LUNA FRANCO</t>
  </si>
  <si>
    <t>96897 B</t>
  </si>
  <si>
    <t>96899 B</t>
  </si>
  <si>
    <t>96806 B</t>
  </si>
  <si>
    <t>96837 B</t>
  </si>
  <si>
    <t>96840 B</t>
  </si>
  <si>
    <t xml:space="preserve">B96932     </t>
  </si>
  <si>
    <t xml:space="preserve">B96925     </t>
  </si>
  <si>
    <t xml:space="preserve">B96926     </t>
  </si>
  <si>
    <t xml:space="preserve">B96923     </t>
  </si>
  <si>
    <t xml:space="preserve">B96924     </t>
  </si>
  <si>
    <t xml:space="preserve">B96927     </t>
  </si>
  <si>
    <t xml:space="preserve">B96928     </t>
  </si>
  <si>
    <t xml:space="preserve">B96929     </t>
  </si>
  <si>
    <t xml:space="preserve">B96930     </t>
  </si>
  <si>
    <t xml:space="preserve">B96881     </t>
  </si>
  <si>
    <t xml:space="preserve">B96882     </t>
  </si>
  <si>
    <t xml:space="preserve">B96897     </t>
  </si>
  <si>
    <t xml:space="preserve">B96899     </t>
  </si>
  <si>
    <t>VEDA790812RS1</t>
  </si>
  <si>
    <t xml:space="preserve">B96840     </t>
  </si>
  <si>
    <t xml:space="preserve">B96837     </t>
  </si>
  <si>
    <t xml:space="preserve">B96685     </t>
  </si>
  <si>
    <t xml:space="preserve">B96721     </t>
  </si>
  <si>
    <t xml:space="preserve">B96722     </t>
  </si>
  <si>
    <t xml:space="preserve">B96723     </t>
  </si>
  <si>
    <t xml:space="preserve">B96742     </t>
  </si>
  <si>
    <t xml:space="preserve">B96806     </t>
  </si>
  <si>
    <t>LUFI831009CL3</t>
  </si>
  <si>
    <t>1131-10074</t>
  </si>
  <si>
    <t>1122-12073</t>
  </si>
  <si>
    <t>PRODUCTORA COME RICO SA DE CV</t>
  </si>
  <si>
    <t>1122-12076</t>
  </si>
  <si>
    <t>PAPELES Y CONVERSIONES DE MEXICO SA DE CV</t>
  </si>
  <si>
    <t>1122-12077</t>
  </si>
  <si>
    <t>MERCATEK DE MEXICO SA DE CV</t>
  </si>
  <si>
    <t>PROMO DO IT SA DE CV</t>
  </si>
  <si>
    <t>2112-1-33101</t>
  </si>
  <si>
    <t>SERVICIOS LEGALES CONTAB. Y AUDITORIA</t>
  </si>
  <si>
    <t>4173-1-50004</t>
  </si>
  <si>
    <t>VARIOS PAQUIME</t>
  </si>
  <si>
    <t>5133-33101</t>
  </si>
  <si>
    <t>8120-73-1-50004</t>
  </si>
  <si>
    <t>8140-73-1-50004</t>
  </si>
  <si>
    <t>8150-73-1-50004</t>
  </si>
  <si>
    <t>8240-14898-0201-01-33101-1</t>
  </si>
  <si>
    <t>8250-14898-0201-01-33101-1</t>
  </si>
  <si>
    <t>8260-14898-0201-01-33101-1</t>
  </si>
  <si>
    <t>8270-14898-0201-01-33101-1</t>
  </si>
  <si>
    <t>96538 B</t>
  </si>
  <si>
    <t>96980 B</t>
  </si>
  <si>
    <t>Servicios Integrales Ruta S.A. de C.V.</t>
  </si>
  <si>
    <t>97123 B</t>
  </si>
  <si>
    <t>97368 B</t>
  </si>
  <si>
    <t>13/05/2021</t>
  </si>
  <si>
    <t>97381 B</t>
  </si>
  <si>
    <t>97382 B</t>
  </si>
  <si>
    <t>97383 B</t>
  </si>
  <si>
    <t>97330 B</t>
  </si>
  <si>
    <t>97331 B</t>
  </si>
  <si>
    <t>Gobierno del Estado de Chihuahua (DEPTO. DE CARRETERAS DE CUOTA).</t>
  </si>
  <si>
    <t>97208 B</t>
  </si>
  <si>
    <t>97209 B</t>
  </si>
  <si>
    <t>18/05/2021</t>
  </si>
  <si>
    <t>97401 B</t>
  </si>
  <si>
    <t>97229 B</t>
  </si>
  <si>
    <t>97302 B</t>
  </si>
  <si>
    <t>97313 B</t>
  </si>
  <si>
    <t>97332 B</t>
  </si>
  <si>
    <t>97073 B</t>
  </si>
  <si>
    <t>97374 B</t>
  </si>
  <si>
    <t>97064 B</t>
  </si>
  <si>
    <t xml:space="preserve">B97401     </t>
  </si>
  <si>
    <t xml:space="preserve">B97382     </t>
  </si>
  <si>
    <t xml:space="preserve">B97381     </t>
  </si>
  <si>
    <t xml:space="preserve">B97383     </t>
  </si>
  <si>
    <t xml:space="preserve">B97374     </t>
  </si>
  <si>
    <t xml:space="preserve">B97368     </t>
  </si>
  <si>
    <t xml:space="preserve">B97330     </t>
  </si>
  <si>
    <t xml:space="preserve">B97331     </t>
  </si>
  <si>
    <t>CAD850514L17</t>
  </si>
  <si>
    <t xml:space="preserve">B97332     </t>
  </si>
  <si>
    <t xml:space="preserve">B96980     </t>
  </si>
  <si>
    <t>SIR950103JA6</t>
  </si>
  <si>
    <t xml:space="preserve">B97123     </t>
  </si>
  <si>
    <t xml:space="preserve">B97208     </t>
  </si>
  <si>
    <t xml:space="preserve">B97209     </t>
  </si>
  <si>
    <t xml:space="preserve">B97229     </t>
  </si>
  <si>
    <t xml:space="preserve">B97073     </t>
  </si>
  <si>
    <t xml:space="preserve">B97302     </t>
  </si>
  <si>
    <t xml:space="preserve">B97313     </t>
  </si>
  <si>
    <t xml:space="preserve">B97064     </t>
  </si>
  <si>
    <t xml:space="preserve">B96538     </t>
  </si>
  <si>
    <t>Ingresos Arrendamiento (Coanzamex, Alsuper, ASACH, Quiroproductos, Yazaki)</t>
  </si>
  <si>
    <t>Fondo ahorro María Teresa García Terrazas</t>
  </si>
  <si>
    <t>1131-10082</t>
  </si>
  <si>
    <t>1125-10002</t>
  </si>
  <si>
    <t>1122-12059</t>
  </si>
  <si>
    <t>CHIHUAHUA ECONOMIC DEVELOPMENT CORPORATION AC</t>
  </si>
  <si>
    <t>1122-12075</t>
  </si>
  <si>
    <t>FIDEICOMISO INDUSTRIAL II CIB/3444</t>
  </si>
  <si>
    <t>1122-12078</t>
  </si>
  <si>
    <t>CONDUCTORES MONTERREY SA DE CV</t>
  </si>
  <si>
    <t>1122-12079</t>
  </si>
  <si>
    <t>CALERAS DE LA LAGUNA SA DE CV</t>
  </si>
  <si>
    <t>1122-12080</t>
  </si>
  <si>
    <t>OPERADORA DESDAR SA DE CV</t>
  </si>
  <si>
    <t>MANUEL C TREVIZO CHACON</t>
  </si>
  <si>
    <t>SODEXO MOTIVATION SOLUTIONS MEXICO SA DE CV</t>
  </si>
  <si>
    <t>2151-11959</t>
  </si>
  <si>
    <t>2151-12041</t>
  </si>
  <si>
    <t>2151-12067</t>
  </si>
  <si>
    <t>SINTESIS Y FORMULACIONES DE ALTA TECNOLOGIA SA</t>
  </si>
  <si>
    <t>8240-14898-0103-03-35701-1</t>
  </si>
  <si>
    <t>8250-14898-0103-03-35701-1</t>
  </si>
  <si>
    <t>8260-14898-0103-03-35701-1</t>
  </si>
  <si>
    <t>8270-14898-0103-03-35701-1</t>
  </si>
  <si>
    <t>7011-3980913</t>
  </si>
  <si>
    <t>97472 B</t>
  </si>
  <si>
    <t>Jose A. Amador Hernandez</t>
  </si>
  <si>
    <t>97638 B</t>
  </si>
  <si>
    <t>97806 B</t>
  </si>
  <si>
    <t>97858 B</t>
  </si>
  <si>
    <t>97693 B</t>
  </si>
  <si>
    <t>Empaques El Paraiso S. de R.L.M.I.</t>
  </si>
  <si>
    <t>97860 B</t>
  </si>
  <si>
    <t>AUTOTRANSPORTE  DUR S DE RL DE CV</t>
  </si>
  <si>
    <t>97844 B</t>
  </si>
  <si>
    <t>97808 B</t>
  </si>
  <si>
    <t>MEINS INDUSTRIES S DE RL DE MI</t>
  </si>
  <si>
    <t>97754 B</t>
  </si>
  <si>
    <t>GRUPO COMERCIAL DE MEXICO, S.A. DE C.V.</t>
  </si>
  <si>
    <t>97869 B</t>
  </si>
  <si>
    <t>SABM830222AY3</t>
  </si>
  <si>
    <t xml:space="preserve">B97869     </t>
  </si>
  <si>
    <t xml:space="preserve">B97858     </t>
  </si>
  <si>
    <t xml:space="preserve">B97860     </t>
  </si>
  <si>
    <t xml:space="preserve">B97844     </t>
  </si>
  <si>
    <t>MIN1304125Q8</t>
  </si>
  <si>
    <t xml:space="preserve">B97806     </t>
  </si>
  <si>
    <t>AUTOTRANSPORTE DUR S DE RL DE CV</t>
  </si>
  <si>
    <t>ADU060615291</t>
  </si>
  <si>
    <t xml:space="preserve">B97808     </t>
  </si>
  <si>
    <t xml:space="preserve">B97472     </t>
  </si>
  <si>
    <t>AAHA531118TSA</t>
  </si>
  <si>
    <t xml:space="preserve">B97638     </t>
  </si>
  <si>
    <t xml:space="preserve">B97693     </t>
  </si>
  <si>
    <t>Empaques El Paraiso S. de R.L. M.I</t>
  </si>
  <si>
    <t>EPA100429822</t>
  </si>
  <si>
    <t xml:space="preserve">B97754     </t>
  </si>
  <si>
    <t>GRUPO COMERCIAL DE MEXICO, SA DE CV</t>
  </si>
  <si>
    <t>GCM011227V7A</t>
  </si>
  <si>
    <t>EDIFICIO SPARK</t>
  </si>
  <si>
    <t>Servicios de Consultoría Administrativa, Procesos</t>
  </si>
  <si>
    <t>Servicios de Limpieza y Manejo de desechos</t>
  </si>
  <si>
    <t>TOTAL EDIFICIO SPARK</t>
  </si>
  <si>
    <t>1122-11726</t>
  </si>
  <si>
    <t>GUARDERIAS DE CHIHUAHUA AC</t>
  </si>
  <si>
    <t>1122-12081</t>
  </si>
  <si>
    <t>EYSIN S DE RL DE CV</t>
  </si>
  <si>
    <t>1122-12082</t>
  </si>
  <si>
    <t>ALVAREZ AUTOMOTRIZ SA DE CV</t>
  </si>
  <si>
    <t>1122-21099</t>
  </si>
  <si>
    <t>DIEGO ALEJANDRO DE LA FUENTE HERRERA</t>
  </si>
  <si>
    <t>2111-3-13202</t>
  </si>
  <si>
    <t>PRIMA VACACIONAL</t>
  </si>
  <si>
    <t>2151-51011</t>
  </si>
  <si>
    <t>KALISH CHATARRA SA DE CV</t>
  </si>
  <si>
    <t>5113-13202</t>
  </si>
  <si>
    <t>8220-14898-0101-09-33801-1</t>
  </si>
  <si>
    <t>8220-14898-0102-09-31101-1</t>
  </si>
  <si>
    <t>8220-14898-0102-09-31301-1</t>
  </si>
  <si>
    <t>8220-14898-0102-09-31401-1</t>
  </si>
  <si>
    <t>8220-14898-0102-09-33301-1</t>
  </si>
  <si>
    <t>8220-14898-0102-09-34501-1</t>
  </si>
  <si>
    <t>8220-14898-0102-09-35101-1</t>
  </si>
  <si>
    <t>8220-14898-0102-09-35801-1</t>
  </si>
  <si>
    <t>8230</t>
  </si>
  <si>
    <t>MODIFICACIONES AL PRESUPUESTO DE EGRESOS APROBADO</t>
  </si>
  <si>
    <t>8230-14898-0101-02-33801-1</t>
  </si>
  <si>
    <t>8230-14898-0101-04-33801-1</t>
  </si>
  <si>
    <t>8230-14898-0101-09-33801-1</t>
  </si>
  <si>
    <t>8230-14898-0102-02-35101-1</t>
  </si>
  <si>
    <t>8230-14898-0102-03-31101-1</t>
  </si>
  <si>
    <t>8230-14898-0102-03-35101-1</t>
  </si>
  <si>
    <t>8230-14898-0102-04-35101-1</t>
  </si>
  <si>
    <t>8230-14898-0102-06-35101-1</t>
  </si>
  <si>
    <t>8230-14898-0102-09-31101-1</t>
  </si>
  <si>
    <t>8230-14898-0102-09-31301-1</t>
  </si>
  <si>
    <t>8230-14898-0102-09-31401-1</t>
  </si>
  <si>
    <t>8230-14898-0102-09-33301-1</t>
  </si>
  <si>
    <t>8230-14898-0102-09-34501-1</t>
  </si>
  <si>
    <t>8230-14898-0102-09-35101-1</t>
  </si>
  <si>
    <t>8230-14898-0102-09-35801-1</t>
  </si>
  <si>
    <t>8240-14898-0101-01-13202-1</t>
  </si>
  <si>
    <t>8240-14898-0101-09-33801-1</t>
  </si>
  <si>
    <t>8240-14898-0102-01-13202-1</t>
  </si>
  <si>
    <t>8240-14898-0102-09-34501-1</t>
  </si>
  <si>
    <t>8240-14898-0102-09-35101-1</t>
  </si>
  <si>
    <t>8240-14898-0103-01-13202-1</t>
  </si>
  <si>
    <t>8240-14898-0201-01-13202-1</t>
  </si>
  <si>
    <t>8250-14898-0101-01-13202-1</t>
  </si>
  <si>
    <t>8250-14898-0101-09-33801-1</t>
  </si>
  <si>
    <t>8250-14898-0102-01-13202-1</t>
  </si>
  <si>
    <t>8250-14898-0102-09-34501-1</t>
  </si>
  <si>
    <t>8250-14898-0102-09-35101-1</t>
  </si>
  <si>
    <t>8250-14898-0103-01-13202-1</t>
  </si>
  <si>
    <t>8250-14898-0201-01-13202-1</t>
  </si>
  <si>
    <t>8260-14898-0101-01-13202-1</t>
  </si>
  <si>
    <t>8260-14898-0101-09-33801-1</t>
  </si>
  <si>
    <t>8260-14898-0102-01-13202-1</t>
  </si>
  <si>
    <t>8260-14898-0102-09-34501-1</t>
  </si>
  <si>
    <t>8260-14898-0102-09-35101-1</t>
  </si>
  <si>
    <t>8260-14898-0103-01-13202-1</t>
  </si>
  <si>
    <t>8260-14898-0201-01-13202-1</t>
  </si>
  <si>
    <t>8270-14898-0101-01-13202-1</t>
  </si>
  <si>
    <t>8270-14898-0101-09-33801-1</t>
  </si>
  <si>
    <t>8270-14898-0102-01-13202-1</t>
  </si>
  <si>
    <t>8270-14898-0102-09-34501-1</t>
  </si>
  <si>
    <t>8270-14898-0102-09-35101-1</t>
  </si>
  <si>
    <t>8270-14898-0103-01-13202-1</t>
  </si>
  <si>
    <t>8270-14898-0201-01-13202-1</t>
  </si>
  <si>
    <t>Page 32</t>
  </si>
  <si>
    <t>Page 33</t>
  </si>
  <si>
    <t>Edificio Spark</t>
  </si>
  <si>
    <t>97926 B</t>
  </si>
  <si>
    <t>98111 B</t>
  </si>
  <si>
    <t>98281 B</t>
  </si>
  <si>
    <t>98282 B</t>
  </si>
  <si>
    <t>98126 B</t>
  </si>
  <si>
    <t>98127 B</t>
  </si>
  <si>
    <t>98128 B</t>
  </si>
  <si>
    <t>98299 B</t>
  </si>
  <si>
    <t>98173 B</t>
  </si>
  <si>
    <t>SOLUCHEF S. DE R. L. DE C.V.</t>
  </si>
  <si>
    <t>98324 B</t>
  </si>
  <si>
    <t>98240 B</t>
  </si>
  <si>
    <t>98264 B</t>
  </si>
  <si>
    <t>EYCIN S DE RL DE CV</t>
  </si>
  <si>
    <t>98268 B</t>
  </si>
  <si>
    <t>TIGHITCO LATINOAMERICA SA DE CV</t>
  </si>
  <si>
    <t>98238 B</t>
  </si>
  <si>
    <t>98292 B</t>
  </si>
  <si>
    <t>98291 B</t>
  </si>
  <si>
    <t>SOL1302278M9</t>
  </si>
  <si>
    <t xml:space="preserve">B98324     </t>
  </si>
  <si>
    <t xml:space="preserve">B98281     </t>
  </si>
  <si>
    <t xml:space="preserve">B98282     </t>
  </si>
  <si>
    <t>TLA010227C50</t>
  </si>
  <si>
    <t xml:space="preserve">B98299     </t>
  </si>
  <si>
    <t xml:space="preserve">B98173     </t>
  </si>
  <si>
    <t xml:space="preserve">B98238     </t>
  </si>
  <si>
    <t xml:space="preserve">B98240     </t>
  </si>
  <si>
    <t xml:space="preserve">B98264     </t>
  </si>
  <si>
    <t>EYC160704619</t>
  </si>
  <si>
    <t xml:space="preserve">B98268     </t>
  </si>
  <si>
    <t xml:space="preserve">B98292     </t>
  </si>
  <si>
    <t xml:space="preserve">B98291     </t>
  </si>
  <si>
    <t xml:space="preserve">B97926     </t>
  </si>
  <si>
    <t xml:space="preserve">B98111     </t>
  </si>
  <si>
    <t xml:space="preserve">B98126     </t>
  </si>
  <si>
    <t xml:space="preserve">B98127     </t>
  </si>
  <si>
    <t xml:space="preserve">B98128     </t>
  </si>
  <si>
    <t>Administracion CNN Condominios AC</t>
  </si>
  <si>
    <t>Akita Automation, S de RL de CV</t>
  </si>
  <si>
    <t>Alvarez Automotriz, SA de CV</t>
  </si>
  <si>
    <t>Avans Distribuciones, SA de CV</t>
  </si>
  <si>
    <t>Briggs Equipment, S de RL de CV</t>
  </si>
  <si>
    <t>Caleras de la Laguna, SA de CV</t>
  </si>
  <si>
    <t>Conductores Monterrey, SA de CV</t>
  </si>
  <si>
    <t>EYCIN, SA de CV</t>
  </si>
  <si>
    <t>Fideicomiso Industrial CIB/3444</t>
  </si>
  <si>
    <t>Fuentes de Almacenamiento Servicios y Tecnología Internacional S de RL de CV</t>
  </si>
  <si>
    <t>Hispanic Teleservices de Guadalajara, SA de CV</t>
  </si>
  <si>
    <t>HRP Chihuahua, S de RL de CV</t>
  </si>
  <si>
    <t>Industrias Luher, SA de CV</t>
  </si>
  <si>
    <t>KB TEL Telecomunicaciones SA de CV</t>
  </si>
  <si>
    <t>Mantenimiento e Instalaciones Mineras, SA de CV</t>
  </si>
  <si>
    <t>Operadora Desdar, SA de CV</t>
  </si>
  <si>
    <t>Papeles y Conversiones de México, SA de CV</t>
  </si>
  <si>
    <t>Productora Come Rico, SA de CV</t>
  </si>
  <si>
    <t>Seguridad Global Industrial SA de CV</t>
  </si>
  <si>
    <t>Sintesís y Formulaciones de Alta Tecnología, SA de CV</t>
  </si>
  <si>
    <t>Triangulo y Plásticos, SA de CV</t>
  </si>
  <si>
    <t>Visión Corporativa Industrial SA de CV</t>
  </si>
  <si>
    <t>Miriam Sugey Saenz Bencomo</t>
  </si>
  <si>
    <t>Armando Vega Dominguez</t>
  </si>
  <si>
    <t>NUMERO DE EMPRESAS DEL SEGUNDO SEMESTRE 2021</t>
  </si>
  <si>
    <t>1131-10097</t>
  </si>
  <si>
    <t>1122-11735</t>
  </si>
  <si>
    <t>VIASI BUILDINGS AND SOLUTIONS SA DE CV</t>
  </si>
  <si>
    <t>1122-12083</t>
  </si>
  <si>
    <t>FUENTES DE ALMACENAMIENTO SERVICIO Y TECNOLOGIA INTERNACIONAL S DE RL DE CV</t>
  </si>
  <si>
    <t>1122-12084</t>
  </si>
  <si>
    <t>BRIGGS EQUIPMENT SA DE CV</t>
  </si>
  <si>
    <t>1122-12085</t>
  </si>
  <si>
    <t>KB TEL TELECOMUNICACIONES SA DE CV</t>
  </si>
  <si>
    <t>1122-12087</t>
  </si>
  <si>
    <t>AVANS DISTRIBUCIONES SA DE CV</t>
  </si>
  <si>
    <t>1122-12088</t>
  </si>
  <si>
    <t>HISPANIC TELESERVICES DE GUADALAJARA SA DE CV</t>
  </si>
  <si>
    <t>1125-10003</t>
  </si>
  <si>
    <t>HUMBERTO A. GONZALEZ VILLASANA</t>
  </si>
  <si>
    <t>ARCHIVO GENERAL DE LA NACION</t>
  </si>
  <si>
    <t>1131-10127</t>
  </si>
  <si>
    <t>DISTRIBUIDORES Y REPRESENTACIONES DEVAL SA DE CV</t>
  </si>
  <si>
    <t>1131-10128</t>
  </si>
  <si>
    <t>SEGUROS ATLAS</t>
  </si>
  <si>
    <t>1134-10002</t>
  </si>
  <si>
    <t>LUIS MANUEL GONZALEZ ITUARTE</t>
  </si>
  <si>
    <t>2112-1-35201</t>
  </si>
  <si>
    <t>INST. REP. Y MTTO. DE MOBILIARIO</t>
  </si>
  <si>
    <t>2151-11438</t>
  </si>
  <si>
    <t>PROMOTORA DE RESTAUANTES DEL NORTE SA DE CV</t>
  </si>
  <si>
    <t>2151-12026</t>
  </si>
  <si>
    <t>5135-35201</t>
  </si>
  <si>
    <t>8240-14898-0201-01-35201-1</t>
  </si>
  <si>
    <t>8250-14898-0201-01-35201-1</t>
  </si>
  <si>
    <t>8260-14898-0201-01-35201-1</t>
  </si>
  <si>
    <t>8270-14898-0201-01-35201-1</t>
  </si>
  <si>
    <t>98372 B</t>
  </si>
  <si>
    <t>Xomox Chihuahua S.A. de C.V.</t>
  </si>
  <si>
    <t>18/08/2021</t>
  </si>
  <si>
    <t>Asociacion de Maquiladoras y Exportadoras de Chihuahua A.C.</t>
  </si>
  <si>
    <t>98479 B</t>
  </si>
  <si>
    <t>98765 B</t>
  </si>
  <si>
    <t>98766 B</t>
  </si>
  <si>
    <t>98592 B</t>
  </si>
  <si>
    <t>98608 B</t>
  </si>
  <si>
    <t>98611 B</t>
  </si>
  <si>
    <t>98612 B</t>
  </si>
  <si>
    <t>98613 B</t>
  </si>
  <si>
    <t>98653 B</t>
  </si>
  <si>
    <t>98751 B</t>
  </si>
  <si>
    <t>TRANSPORTES CASTORES DE BAJA CALIFORNIA SA DE CV</t>
  </si>
  <si>
    <t>98656 B</t>
  </si>
  <si>
    <t>98738 B</t>
  </si>
  <si>
    <t>98724 B</t>
  </si>
  <si>
    <t>98671 B</t>
  </si>
  <si>
    <t>98772 B</t>
  </si>
  <si>
    <t>98518 B</t>
  </si>
  <si>
    <t xml:space="preserve">B98772     </t>
  </si>
  <si>
    <t xml:space="preserve">B98766     </t>
  </si>
  <si>
    <t xml:space="preserve">B98765     </t>
  </si>
  <si>
    <t xml:space="preserve">B98724     </t>
  </si>
  <si>
    <t xml:space="preserve">B98751     </t>
  </si>
  <si>
    <t xml:space="preserve">B98738     </t>
  </si>
  <si>
    <t>XCI950821PI9</t>
  </si>
  <si>
    <t>Asociacion de Maquiladoras y Exportadora</t>
  </si>
  <si>
    <t>AME8410121W1</t>
  </si>
  <si>
    <t xml:space="preserve">B98592     </t>
  </si>
  <si>
    <t xml:space="preserve">B98608     </t>
  </si>
  <si>
    <t xml:space="preserve">B98611     </t>
  </si>
  <si>
    <t xml:space="preserve">B98612     </t>
  </si>
  <si>
    <t xml:space="preserve">B98613     </t>
  </si>
  <si>
    <t>QSM130403MS3</t>
  </si>
  <si>
    <t xml:space="preserve">B98653     </t>
  </si>
  <si>
    <t xml:space="preserve">TRANSPORTES CASTORES DE BAJA CALIFORNIA SA DE </t>
  </si>
  <si>
    <t>TCB7401303A4</t>
  </si>
  <si>
    <t xml:space="preserve">B98656     </t>
  </si>
  <si>
    <t xml:space="preserve">B98671     </t>
  </si>
  <si>
    <t xml:space="preserve">B98518     </t>
  </si>
  <si>
    <t xml:space="preserve">B98372     </t>
  </si>
  <si>
    <t xml:space="preserve">B98479     </t>
  </si>
  <si>
    <t>SOU940317TG5</t>
  </si>
  <si>
    <t>PARQUE AGROINDUSTRIAL NAICA</t>
  </si>
  <si>
    <t>Parque Agroind</t>
  </si>
  <si>
    <t>Naica</t>
  </si>
  <si>
    <t>1131-10016</t>
  </si>
  <si>
    <t>1131-10046</t>
  </si>
  <si>
    <t>1125-10007</t>
  </si>
  <si>
    <t>1125-10013</t>
  </si>
  <si>
    <t>1122-11751</t>
  </si>
  <si>
    <t>PROVEEDORA DE SEGURIDAD INDUSTRIAL DE CHIHUAHUA SA DE CV</t>
  </si>
  <si>
    <t>1122-11926</t>
  </si>
  <si>
    <t>HIDROPONICOS LUZA SA DE CV</t>
  </si>
  <si>
    <t>1122-12086</t>
  </si>
  <si>
    <t>INDUSTRIAS LUHER SA DE CV</t>
  </si>
  <si>
    <t>1122-12089</t>
  </si>
  <si>
    <t>FIDEICOMISO IRREVOCABLE DE ADMON No. F-4742</t>
  </si>
  <si>
    <t>1122-12090</t>
  </si>
  <si>
    <t>GUADALUPE ALLANDE GARCIA</t>
  </si>
  <si>
    <t>1124-10018</t>
  </si>
  <si>
    <t>SALDO A FAV IVA SEP 2021</t>
  </si>
  <si>
    <t>SAUL A. ARREDONDO GRIENSSEN</t>
  </si>
  <si>
    <t>ALEJANDRO JASCHACK JAQUEZ</t>
  </si>
  <si>
    <t>PINTURAS DEL PASO JUAREZ SA DE CV</t>
  </si>
  <si>
    <t>EMIGDIO MIRAMONTES VARELA</t>
  </si>
  <si>
    <t>1191-10002</t>
  </si>
  <si>
    <t>SISTEMA IAVE</t>
  </si>
  <si>
    <t>2111-3-13201</t>
  </si>
  <si>
    <t>GRATIFICACION ANUAL</t>
  </si>
  <si>
    <t>2151-11865</t>
  </si>
  <si>
    <t>4173-1-70004</t>
  </si>
  <si>
    <t>VARIOS NAICA</t>
  </si>
  <si>
    <t>5113-13201</t>
  </si>
  <si>
    <t>8120-73-1-70004</t>
  </si>
  <si>
    <t>8140-73-1-70004</t>
  </si>
  <si>
    <t>8150-73-1-70004</t>
  </si>
  <si>
    <t>Page 34</t>
  </si>
  <si>
    <t>Page 35</t>
  </si>
  <si>
    <t>Page 36</t>
  </si>
  <si>
    <t>8240-14898-0202-01-13201-1</t>
  </si>
  <si>
    <t>8240-14898-0202-01-13202-1</t>
  </si>
  <si>
    <t>Page 37</t>
  </si>
  <si>
    <t>Page 38</t>
  </si>
  <si>
    <t>Page 39</t>
  </si>
  <si>
    <t>Page 40</t>
  </si>
  <si>
    <t>8250-14898-0202-01-13201-1</t>
  </si>
  <si>
    <t>8250-14898-0202-01-13202-1</t>
  </si>
  <si>
    <t>Page 41</t>
  </si>
  <si>
    <t>Page 42</t>
  </si>
  <si>
    <t>Page 43</t>
  </si>
  <si>
    <t>Page 44</t>
  </si>
  <si>
    <t>8260-14898-0202-01-13201-1</t>
  </si>
  <si>
    <t>8260-14898-0202-01-13202-1</t>
  </si>
  <si>
    <t>Page 45</t>
  </si>
  <si>
    <t>Page 46</t>
  </si>
  <si>
    <t>Page 47</t>
  </si>
  <si>
    <t>Page 48</t>
  </si>
  <si>
    <t>8270-14898-0202-01-13201-1</t>
  </si>
  <si>
    <t>8270-14898-0202-01-13202-1</t>
  </si>
  <si>
    <t>Page 49</t>
  </si>
  <si>
    <t>98947 B</t>
  </si>
  <si>
    <t>99012 B</t>
  </si>
  <si>
    <t>Transportes Thomas S.A. de C.V.</t>
  </si>
  <si>
    <t>98987 B</t>
  </si>
  <si>
    <t>99026 B</t>
  </si>
  <si>
    <t>98852 B</t>
  </si>
  <si>
    <t>GCC Concreto S.A. de C.V.</t>
  </si>
  <si>
    <t>24/09/2021</t>
  </si>
  <si>
    <t>99226 B</t>
  </si>
  <si>
    <t>99227 B</t>
  </si>
  <si>
    <t>99037 B</t>
  </si>
  <si>
    <t>99119 B</t>
  </si>
  <si>
    <t>98923 B</t>
  </si>
  <si>
    <t>99060 B</t>
  </si>
  <si>
    <t>99072 B</t>
  </si>
  <si>
    <t>99075 B</t>
  </si>
  <si>
    <t>99076 B</t>
  </si>
  <si>
    <t>99077 B</t>
  </si>
  <si>
    <t>21/09/2021</t>
  </si>
  <si>
    <t>99221 B</t>
  </si>
  <si>
    <t>99208 B</t>
  </si>
  <si>
    <t>99224 B</t>
  </si>
  <si>
    <t>99144 B</t>
  </si>
  <si>
    <t>98899 B</t>
  </si>
  <si>
    <t>99161 B</t>
  </si>
  <si>
    <t>99156 B</t>
  </si>
  <si>
    <t>GRUPO SAROYO, SA DE CV</t>
  </si>
  <si>
    <t>99228 B</t>
  </si>
  <si>
    <t>99127 B</t>
  </si>
  <si>
    <t>99230 B</t>
  </si>
  <si>
    <t>99212 B</t>
  </si>
  <si>
    <t>99027 B</t>
  </si>
  <si>
    <t>99169 B</t>
  </si>
  <si>
    <t>Fideicomiso Irrevocable de Administracion Numero F/4742</t>
  </si>
  <si>
    <t>23/09/2021</t>
  </si>
  <si>
    <t>99225 B</t>
  </si>
  <si>
    <t>99173 B</t>
  </si>
  <si>
    <t>99184 B</t>
  </si>
  <si>
    <t>99185 B</t>
  </si>
  <si>
    <t xml:space="preserve">B99226     </t>
  </si>
  <si>
    <t xml:space="preserve">B99227     </t>
  </si>
  <si>
    <t>GSA1906262N3</t>
  </si>
  <si>
    <t xml:space="preserve">B99228     </t>
  </si>
  <si>
    <t xml:space="preserve">B99230     </t>
  </si>
  <si>
    <t xml:space="preserve">B99225     </t>
  </si>
  <si>
    <t xml:space="preserve">B99221     </t>
  </si>
  <si>
    <t xml:space="preserve">B99224     </t>
  </si>
  <si>
    <t xml:space="preserve">B99208     </t>
  </si>
  <si>
    <t>AAGG460107UF9</t>
  </si>
  <si>
    <t xml:space="preserve">B99212     </t>
  </si>
  <si>
    <t xml:space="preserve">B98947     </t>
  </si>
  <si>
    <t xml:space="preserve">B99012     </t>
  </si>
  <si>
    <t>TTH730116Q58</t>
  </si>
  <si>
    <t xml:space="preserve">B98987     </t>
  </si>
  <si>
    <t xml:space="preserve">B99026     </t>
  </si>
  <si>
    <t xml:space="preserve">B99027     </t>
  </si>
  <si>
    <t xml:space="preserve">B99037     </t>
  </si>
  <si>
    <t xml:space="preserve">B99119     </t>
  </si>
  <si>
    <t xml:space="preserve">B99060     </t>
  </si>
  <si>
    <t xml:space="preserve">B99072     </t>
  </si>
  <si>
    <t xml:space="preserve">B99075     </t>
  </si>
  <si>
    <t xml:space="preserve">B99076     </t>
  </si>
  <si>
    <t xml:space="preserve">B99077     </t>
  </si>
  <si>
    <t xml:space="preserve">B99144     </t>
  </si>
  <si>
    <t xml:space="preserve">B99169     </t>
  </si>
  <si>
    <t xml:space="preserve">B99161     </t>
  </si>
  <si>
    <t>CAM1001014TA</t>
  </si>
  <si>
    <t xml:space="preserve">B99156     </t>
  </si>
  <si>
    <t xml:space="preserve">B99127     </t>
  </si>
  <si>
    <t>Fideicomiso Irrevocable de Administracion Nume</t>
  </si>
  <si>
    <t>FIA201104T12</t>
  </si>
  <si>
    <t xml:space="preserve">B99173     </t>
  </si>
  <si>
    <t xml:space="preserve">B99184     </t>
  </si>
  <si>
    <t xml:space="preserve">B99185     </t>
  </si>
  <si>
    <t xml:space="preserve">B98923     </t>
  </si>
  <si>
    <t>MARA7008279P3</t>
  </si>
  <si>
    <t xml:space="preserve">B98899     </t>
  </si>
  <si>
    <t xml:space="preserve">B98852     </t>
  </si>
  <si>
    <t>Más de 360 días</t>
  </si>
  <si>
    <t>CFE Suministrador de Servicios Básicos</t>
  </si>
  <si>
    <t>Energía eléctrica Parque Sur consumida y no facturada</t>
  </si>
  <si>
    <t>1125-10016</t>
  </si>
  <si>
    <t>1122-11653</t>
  </si>
  <si>
    <t>PARQUES INDUSTRIALES INTERNACIONALES MEXICANOS</t>
  </si>
  <si>
    <t>1122-12091</t>
  </si>
  <si>
    <t>GRUPO GUSI SPR DE RL DE CV</t>
  </si>
  <si>
    <t>LUIS FERNANDO DOMINGUEZ SANCHEZ</t>
  </si>
  <si>
    <t>2112-1-25301</t>
  </si>
  <si>
    <t>MEDICINAS Y PRODUCTOS FARMACÉUTICOS</t>
  </si>
  <si>
    <t>5125</t>
  </si>
  <si>
    <t>PRODUCTOS QUÍMICOS, FARMACÉUTICOS Y DE LABORATORIO</t>
  </si>
  <si>
    <t>5125-25301</t>
  </si>
  <si>
    <t>8240-14898-0102-09-31301-1</t>
  </si>
  <si>
    <t>8240-14898-0103-01-13201-1</t>
  </si>
  <si>
    <t>8240-14898-0201-01-25301-1</t>
  </si>
  <si>
    <t>8250-14898-0102-09-31301-1</t>
  </si>
  <si>
    <t>8250-14898-0103-01-13201-1</t>
  </si>
  <si>
    <t>8250-14898-0201-01-25301-1</t>
  </si>
  <si>
    <t>8260-14898-0102-09-31301-1</t>
  </si>
  <si>
    <t>8260-14898-0103-01-13201-1</t>
  </si>
  <si>
    <t>8260-14898-0201-01-25301-1</t>
  </si>
  <si>
    <t>8270-14898-0102-09-31301-1</t>
  </si>
  <si>
    <t>8270-14898-0103-01-13201-1</t>
  </si>
  <si>
    <t>8270-14898-0201-01-25301-1</t>
  </si>
  <si>
    <t>Page 50</t>
  </si>
  <si>
    <t>99395 B</t>
  </si>
  <si>
    <t>99396 B</t>
  </si>
  <si>
    <t>99293 B</t>
  </si>
  <si>
    <t>99294 B</t>
  </si>
  <si>
    <t>99295 B</t>
  </si>
  <si>
    <t>99414 B</t>
  </si>
  <si>
    <t>99302 B</t>
  </si>
  <si>
    <t>99420 B</t>
  </si>
  <si>
    <t>99384 B</t>
  </si>
  <si>
    <t>99387 B</t>
  </si>
  <si>
    <t>26/10/2021</t>
  </si>
  <si>
    <t>99731 B</t>
  </si>
  <si>
    <t>99734 B</t>
  </si>
  <si>
    <t>99427 B</t>
  </si>
  <si>
    <t>Transportes Julian de Obregon SA de CV</t>
  </si>
  <si>
    <t>Agua y Hielo Purificados S.A De C.V.</t>
  </si>
  <si>
    <t>99624 B</t>
  </si>
  <si>
    <t>99435 B</t>
  </si>
  <si>
    <t>Parques Industriales Internacionales Mexicanos SA de CV</t>
  </si>
  <si>
    <t>99655 B</t>
  </si>
  <si>
    <t>CFS BRANDS PRODUCTOS DE MEXICO S DE RL DE CV</t>
  </si>
  <si>
    <t>99322 B</t>
  </si>
  <si>
    <t>ANA MARGARITA S.P.R. DE R.L. DE C.V.</t>
  </si>
  <si>
    <t>99452 B</t>
  </si>
  <si>
    <t>99453 B</t>
  </si>
  <si>
    <t>99631 B</t>
  </si>
  <si>
    <t>99458 B</t>
  </si>
  <si>
    <t>99359 B</t>
  </si>
  <si>
    <t>99480 B</t>
  </si>
  <si>
    <t>99481 B</t>
  </si>
  <si>
    <t>99482 B</t>
  </si>
  <si>
    <t>99486 B</t>
  </si>
  <si>
    <t>99498 B</t>
  </si>
  <si>
    <t>99503 B</t>
  </si>
  <si>
    <t>99519 B</t>
  </si>
  <si>
    <t>ETICOLOR S.A. DE C.V.</t>
  </si>
  <si>
    <t>99521 B</t>
  </si>
  <si>
    <t>99522 B</t>
  </si>
  <si>
    <t>99386 B</t>
  </si>
  <si>
    <t>99733 B</t>
  </si>
  <si>
    <t>99532 B</t>
  </si>
  <si>
    <t>99539 B</t>
  </si>
  <si>
    <t>Mercainstalación y Distribución SA de CV</t>
  </si>
  <si>
    <t>99544 B</t>
  </si>
  <si>
    <t>99548 B</t>
  </si>
  <si>
    <t>99565 B</t>
  </si>
  <si>
    <t>99567 B</t>
  </si>
  <si>
    <t>99569 B</t>
  </si>
  <si>
    <t>99590 B</t>
  </si>
  <si>
    <t>Operadora XVIII de Diciembre SA de CV</t>
  </si>
  <si>
    <t>99415 B</t>
  </si>
  <si>
    <t>99638 B</t>
  </si>
  <si>
    <t>99383 B</t>
  </si>
  <si>
    <t>99385 B</t>
  </si>
  <si>
    <t>99732 B</t>
  </si>
  <si>
    <t>99602 B</t>
  </si>
  <si>
    <t>99603 B</t>
  </si>
  <si>
    <t>99604 B</t>
  </si>
  <si>
    <t>99620 B</t>
  </si>
  <si>
    <t>99621 B</t>
  </si>
  <si>
    <t xml:space="preserve">B99734     </t>
  </si>
  <si>
    <t xml:space="preserve">B99731     </t>
  </si>
  <si>
    <t xml:space="preserve">B99733     </t>
  </si>
  <si>
    <t xml:space="preserve">B99732     </t>
  </si>
  <si>
    <t>TJO680807GU2</t>
  </si>
  <si>
    <t>Parques Industriales Internacionales Mexicanos</t>
  </si>
  <si>
    <t>PII9604267M7</t>
  </si>
  <si>
    <t xml:space="preserve">B99655     </t>
  </si>
  <si>
    <t xml:space="preserve">B99638     </t>
  </si>
  <si>
    <t xml:space="preserve">B99395     </t>
  </si>
  <si>
    <t xml:space="preserve">B99396     </t>
  </si>
  <si>
    <t xml:space="preserve">B99414     </t>
  </si>
  <si>
    <t xml:space="preserve">B99415     </t>
  </si>
  <si>
    <t xml:space="preserve">B99420     </t>
  </si>
  <si>
    <t xml:space="preserve">B99384     </t>
  </si>
  <si>
    <t xml:space="preserve">B99387     </t>
  </si>
  <si>
    <t xml:space="preserve">B99427     </t>
  </si>
  <si>
    <t xml:space="preserve">B99624     </t>
  </si>
  <si>
    <t xml:space="preserve">B99435     </t>
  </si>
  <si>
    <t>ANA MARGARITA S.P.R. DE R.L. DE CV</t>
  </si>
  <si>
    <t>SPR810105GW2</t>
  </si>
  <si>
    <t xml:space="preserve">B99452     </t>
  </si>
  <si>
    <t xml:space="preserve">B99453     </t>
  </si>
  <si>
    <t>PROVEEDORA DE SEGURIDAD INDUSTRIAL DE CHIHUAHU</t>
  </si>
  <si>
    <t>PSI791229DB9</t>
  </si>
  <si>
    <t xml:space="preserve">B99631     </t>
  </si>
  <si>
    <t xml:space="preserve">B99458     </t>
  </si>
  <si>
    <t xml:space="preserve">B99480     </t>
  </si>
  <si>
    <t xml:space="preserve">B99481     </t>
  </si>
  <si>
    <t xml:space="preserve">B99482     </t>
  </si>
  <si>
    <t xml:space="preserve">B99486     </t>
  </si>
  <si>
    <t xml:space="preserve">B99498     </t>
  </si>
  <si>
    <t xml:space="preserve">B99503     </t>
  </si>
  <si>
    <t xml:space="preserve">B99519     </t>
  </si>
  <si>
    <t>ETI891215952</t>
  </si>
  <si>
    <t xml:space="preserve">B99521     </t>
  </si>
  <si>
    <t xml:space="preserve">B99522     </t>
  </si>
  <si>
    <t xml:space="preserve">B99386     </t>
  </si>
  <si>
    <t xml:space="preserve">B99532     </t>
  </si>
  <si>
    <t xml:space="preserve">B99539     </t>
  </si>
  <si>
    <t>MDI110914GF5</t>
  </si>
  <si>
    <t xml:space="preserve">B99544     </t>
  </si>
  <si>
    <t xml:space="preserve">B99548     </t>
  </si>
  <si>
    <t>DBG1306174P5</t>
  </si>
  <si>
    <t xml:space="preserve">B99565     </t>
  </si>
  <si>
    <t xml:space="preserve">B99567     </t>
  </si>
  <si>
    <t xml:space="preserve">B99569     </t>
  </si>
  <si>
    <t xml:space="preserve">B99383     </t>
  </si>
  <si>
    <t xml:space="preserve">B99590     </t>
  </si>
  <si>
    <t xml:space="preserve">B99385     </t>
  </si>
  <si>
    <t xml:space="preserve">B99602     </t>
  </si>
  <si>
    <t xml:space="preserve">B99603     </t>
  </si>
  <si>
    <t xml:space="preserve">B99604     </t>
  </si>
  <si>
    <t xml:space="preserve">B99620     </t>
  </si>
  <si>
    <t xml:space="preserve">B99621     </t>
  </si>
  <si>
    <t xml:space="preserve">B99293     </t>
  </si>
  <si>
    <t xml:space="preserve">B99294     </t>
  </si>
  <si>
    <t xml:space="preserve">B99295     </t>
  </si>
  <si>
    <t>OXD021217HD0</t>
  </si>
  <si>
    <t xml:space="preserve">B99302     </t>
  </si>
  <si>
    <t>Agua y Hielo Purificados S.A. De C.V.</t>
  </si>
  <si>
    <t>AHP981202M36</t>
  </si>
  <si>
    <t>CPM001207441</t>
  </si>
  <si>
    <t xml:space="preserve">B99322     </t>
  </si>
  <si>
    <t>MIN080527KE4</t>
  </si>
  <si>
    <t xml:space="preserve">B99359     </t>
  </si>
  <si>
    <t>Equipamiento pozo número dos</t>
  </si>
  <si>
    <t>Nivelación dren pluvial manzana 13</t>
  </si>
  <si>
    <t>1131-10044</t>
  </si>
  <si>
    <t>1131-10130</t>
  </si>
  <si>
    <t>1122-12092</t>
  </si>
  <si>
    <t>SEGISA CHIHUAHUA SA DE CV</t>
  </si>
  <si>
    <t>1122-12093</t>
  </si>
  <si>
    <t>DESARROLLADORA BOREAL SA DE CV</t>
  </si>
  <si>
    <t>1122-12094</t>
  </si>
  <si>
    <t>GRUPO GARCHA INSUMOS INDUSTRIALES SA DE CV</t>
  </si>
  <si>
    <t>1122-12095</t>
  </si>
  <si>
    <t>CONVERTIDORAS PCM SA DE CV</t>
  </si>
  <si>
    <t>1122-12096</t>
  </si>
  <si>
    <t>COMERCIALIZADORA TRACTOZONE NSC SA DE CV</t>
  </si>
  <si>
    <t>1122-12097</t>
  </si>
  <si>
    <t>CONTRATO DE FIDEICOMISO DE INVERSION No. 3078</t>
  </si>
  <si>
    <t>1125-10017</t>
  </si>
  <si>
    <t>JORGE ANDRES GONZALEZ ZEGARRA</t>
  </si>
  <si>
    <t>CESAR OSBALDO REZA DURAN</t>
  </si>
  <si>
    <t>INSTALATECH SA DE CV</t>
  </si>
  <si>
    <t>2151-11922</t>
  </si>
  <si>
    <t>DOMINGUEZ HTAS DE MEXICO</t>
  </si>
  <si>
    <t>8230-14898-0103-02-31301-1</t>
  </si>
  <si>
    <t>8230-14898-0103-04-31301-1</t>
  </si>
  <si>
    <t>8240-14898-0102-01-13201-1</t>
  </si>
  <si>
    <t>8250-14898-0102-01-13201-1</t>
  </si>
  <si>
    <t>8260-14898-0102-01-13201-1</t>
  </si>
  <si>
    <t>8270-14898-0102-01-13201-1</t>
  </si>
  <si>
    <t>100084 B</t>
  </si>
  <si>
    <t>99890 B</t>
  </si>
  <si>
    <t>99891 B</t>
  </si>
  <si>
    <t>99893 B</t>
  </si>
  <si>
    <t>99894 B</t>
  </si>
  <si>
    <t>99895 B</t>
  </si>
  <si>
    <t>100109 B</t>
  </si>
  <si>
    <t>Manufacturas Estampadas S.A. de C.V.</t>
  </si>
  <si>
    <t>25/11/2021</t>
  </si>
  <si>
    <t>99756 B</t>
  </si>
  <si>
    <t>Manufacturas Estampadas SA de CV</t>
  </si>
  <si>
    <t>99757 B</t>
  </si>
  <si>
    <t>100147 B</t>
  </si>
  <si>
    <t>100148 B</t>
  </si>
  <si>
    <t>99758 B</t>
  </si>
  <si>
    <t>99904 B</t>
  </si>
  <si>
    <t>99905 B</t>
  </si>
  <si>
    <t>100172 B</t>
  </si>
  <si>
    <t>30/11/2021</t>
  </si>
  <si>
    <t>100194 B</t>
  </si>
  <si>
    <t>99918 B</t>
  </si>
  <si>
    <t>99778 B</t>
  </si>
  <si>
    <t>19/11/2021</t>
  </si>
  <si>
    <t>100157 B</t>
  </si>
  <si>
    <t>100158 B</t>
  </si>
  <si>
    <t>100159 B</t>
  </si>
  <si>
    <t>100160 B</t>
  </si>
  <si>
    <t>100161 B</t>
  </si>
  <si>
    <t>99939 B</t>
  </si>
  <si>
    <t>99940 B</t>
  </si>
  <si>
    <t>99941 B</t>
  </si>
  <si>
    <t>99942 B</t>
  </si>
  <si>
    <t>100123 B</t>
  </si>
  <si>
    <t>99948 B</t>
  </si>
  <si>
    <t>99063 B</t>
  </si>
  <si>
    <t>99805 B</t>
  </si>
  <si>
    <t>99820 B</t>
  </si>
  <si>
    <t>99962 B</t>
  </si>
  <si>
    <t>99963 B</t>
  </si>
  <si>
    <t>99964 B</t>
  </si>
  <si>
    <t>99968 B</t>
  </si>
  <si>
    <t>99973 B</t>
  </si>
  <si>
    <t>Grupo Calibeb S.A. de C.V.</t>
  </si>
  <si>
    <t>99976 B</t>
  </si>
  <si>
    <t>99980 B</t>
  </si>
  <si>
    <t>99985 B</t>
  </si>
  <si>
    <t>99988 B</t>
  </si>
  <si>
    <t>Avitar del Norte S.A de C.V.</t>
  </si>
  <si>
    <t>99991 B</t>
  </si>
  <si>
    <t>100001 B</t>
  </si>
  <si>
    <t>17/11/2021</t>
  </si>
  <si>
    <t>100154 B</t>
  </si>
  <si>
    <t>100155 B</t>
  </si>
  <si>
    <t>100156 B</t>
  </si>
  <si>
    <t>100141 B</t>
  </si>
  <si>
    <t>100143 B</t>
  </si>
  <si>
    <t>100004 B</t>
  </si>
  <si>
    <t>Conductos y Metalmecanica SA de CV</t>
  </si>
  <si>
    <t>100010 B</t>
  </si>
  <si>
    <t>99815 B</t>
  </si>
  <si>
    <t>100015 B</t>
  </si>
  <si>
    <t>100023 B</t>
  </si>
  <si>
    <t>INMOBILIARIA TOGARSA SRL DE CV</t>
  </si>
  <si>
    <t>100025 B</t>
  </si>
  <si>
    <t>100026 B</t>
  </si>
  <si>
    <t>100027 B</t>
  </si>
  <si>
    <t>100031 B</t>
  </si>
  <si>
    <t>100041 B</t>
  </si>
  <si>
    <t>100048 B</t>
  </si>
  <si>
    <t>100050 B</t>
  </si>
  <si>
    <t>100052 B</t>
  </si>
  <si>
    <t>100070 B</t>
  </si>
  <si>
    <t>100074 B</t>
  </si>
  <si>
    <t>100078 B</t>
  </si>
  <si>
    <t>100133 B</t>
  </si>
  <si>
    <t>99906 B</t>
  </si>
  <si>
    <t>100125 B</t>
  </si>
  <si>
    <t>Centro de Fabricantes S.A. de C.V.</t>
  </si>
  <si>
    <t>100090 B</t>
  </si>
  <si>
    <t>100100 B</t>
  </si>
  <si>
    <t>99882 B</t>
  </si>
  <si>
    <t>99883 B</t>
  </si>
  <si>
    <t>99884 B</t>
  </si>
  <si>
    <t>99873 B</t>
  </si>
  <si>
    <t>99874 B</t>
  </si>
  <si>
    <t xml:space="preserve">B100194    </t>
  </si>
  <si>
    <t xml:space="preserve">B100172    </t>
  </si>
  <si>
    <t xml:space="preserve">B100160    </t>
  </si>
  <si>
    <t xml:space="preserve">B100161    </t>
  </si>
  <si>
    <t xml:space="preserve">B100157    </t>
  </si>
  <si>
    <t xml:space="preserve">B100158    </t>
  </si>
  <si>
    <t xml:space="preserve">B100159    </t>
  </si>
  <si>
    <t xml:space="preserve">B100154    </t>
  </si>
  <si>
    <t xml:space="preserve">B100155    </t>
  </si>
  <si>
    <t xml:space="preserve">B100156    </t>
  </si>
  <si>
    <t>CPC210621BF7</t>
  </si>
  <si>
    <t xml:space="preserve">B100147    </t>
  </si>
  <si>
    <t xml:space="preserve">B100148    </t>
  </si>
  <si>
    <t xml:space="preserve">B100133    </t>
  </si>
  <si>
    <t xml:space="preserve">B100141    </t>
  </si>
  <si>
    <t xml:space="preserve">B100143    </t>
  </si>
  <si>
    <t xml:space="preserve">B100084    </t>
  </si>
  <si>
    <t xml:space="preserve">B100109    </t>
  </si>
  <si>
    <t xml:space="preserve">B100123    </t>
  </si>
  <si>
    <t xml:space="preserve">B100125    </t>
  </si>
  <si>
    <t>CFA000413MU8</t>
  </si>
  <si>
    <t xml:space="preserve">B100090    </t>
  </si>
  <si>
    <t xml:space="preserve">B100100    </t>
  </si>
  <si>
    <t xml:space="preserve">B99890     </t>
  </si>
  <si>
    <t xml:space="preserve">B99891     </t>
  </si>
  <si>
    <t xml:space="preserve">B99893     </t>
  </si>
  <si>
    <t xml:space="preserve">B99894     </t>
  </si>
  <si>
    <t xml:space="preserve">B99895     </t>
  </si>
  <si>
    <t xml:space="preserve">B99904     </t>
  </si>
  <si>
    <t xml:space="preserve">B99905     </t>
  </si>
  <si>
    <t xml:space="preserve">B99906     </t>
  </si>
  <si>
    <t xml:space="preserve">B99918     </t>
  </si>
  <si>
    <t xml:space="preserve">B99939     </t>
  </si>
  <si>
    <t xml:space="preserve">B99940     </t>
  </si>
  <si>
    <t xml:space="preserve">B99941     </t>
  </si>
  <si>
    <t xml:space="preserve">B99942     </t>
  </si>
  <si>
    <t xml:space="preserve">B99948     </t>
  </si>
  <si>
    <t xml:space="preserve">B99962     </t>
  </si>
  <si>
    <t xml:space="preserve">B99963     </t>
  </si>
  <si>
    <t xml:space="preserve">B99964     </t>
  </si>
  <si>
    <t xml:space="preserve">B99968     </t>
  </si>
  <si>
    <t xml:space="preserve">B99973     </t>
  </si>
  <si>
    <t>GCA130412675</t>
  </si>
  <si>
    <t xml:space="preserve">B99976     </t>
  </si>
  <si>
    <t xml:space="preserve">B99980     </t>
  </si>
  <si>
    <t xml:space="preserve">B99985     </t>
  </si>
  <si>
    <t xml:space="preserve">B99988     </t>
  </si>
  <si>
    <t>ANX050701BA9</t>
  </si>
  <si>
    <t xml:space="preserve">B99991     </t>
  </si>
  <si>
    <t xml:space="preserve">B100001    </t>
  </si>
  <si>
    <t xml:space="preserve">B100004    </t>
  </si>
  <si>
    <t>CME161102FV5</t>
  </si>
  <si>
    <t xml:space="preserve">B100010    </t>
  </si>
  <si>
    <t xml:space="preserve">B100015    </t>
  </si>
  <si>
    <t xml:space="preserve">B100023    </t>
  </si>
  <si>
    <t>INMOBILIARIA TOGARSA S RL DE CV</t>
  </si>
  <si>
    <t>ITO060530SM6</t>
  </si>
  <si>
    <t xml:space="preserve">B100025    </t>
  </si>
  <si>
    <t xml:space="preserve">B100026    </t>
  </si>
  <si>
    <t xml:space="preserve">B100027    </t>
  </si>
  <si>
    <t xml:space="preserve">B100031    </t>
  </si>
  <si>
    <t xml:space="preserve">B100041    </t>
  </si>
  <si>
    <t xml:space="preserve">B100048    </t>
  </si>
  <si>
    <t xml:space="preserve">B100050    </t>
  </si>
  <si>
    <t xml:space="preserve">B100052    </t>
  </si>
  <si>
    <t>CLA830523DM1</t>
  </si>
  <si>
    <t>ADI130514HP0</t>
  </si>
  <si>
    <t xml:space="preserve">B100070    </t>
  </si>
  <si>
    <t xml:space="preserve">B100074    </t>
  </si>
  <si>
    <t>GGD140620GH7</t>
  </si>
  <si>
    <t xml:space="preserve">B100078    </t>
  </si>
  <si>
    <t>MES880922JQA</t>
  </si>
  <si>
    <t xml:space="preserve">B99756     </t>
  </si>
  <si>
    <t xml:space="preserve">B99757     </t>
  </si>
  <si>
    <t xml:space="preserve">B99758     </t>
  </si>
  <si>
    <t xml:space="preserve">B99778     </t>
  </si>
  <si>
    <t xml:space="preserve">B99805     </t>
  </si>
  <si>
    <t xml:space="preserve">B99820     </t>
  </si>
  <si>
    <t xml:space="preserve">B99815     </t>
  </si>
  <si>
    <t xml:space="preserve">B99882     </t>
  </si>
  <si>
    <t xml:space="preserve">B99883     </t>
  </si>
  <si>
    <t xml:space="preserve">B99884     </t>
  </si>
  <si>
    <t xml:space="preserve">B99873     </t>
  </si>
  <si>
    <t xml:space="preserve">B99874     </t>
  </si>
  <si>
    <t xml:space="preserve">B99063     </t>
  </si>
  <si>
    <t>AL 31 DE DICIEMBRE DE 2021</t>
  </si>
  <si>
    <t>DEL 1o. DE ENERO AL 31 DE DICIEMBRE DE 2021</t>
  </si>
  <si>
    <t>ACUMULADO AL MES DE DICIEMBRE DE 2021</t>
  </si>
  <si>
    <t>Banamex Dólares valuada en pesos a T.C. $20.5157</t>
  </si>
  <si>
    <t>Gastos Médicos AXA</t>
  </si>
  <si>
    <t>Gastos médicos de trabajadores a descontar por nómina</t>
  </si>
  <si>
    <t>Balanza de Comprobación del 01/dic./2021 al 31/dic./2021</t>
  </si>
  <si>
    <t>10/ene./2022</t>
  </si>
  <si>
    <t>Cuentas con saldos y movimientos acumulado. (De la cuenta: 1000 a la 9000)</t>
  </si>
  <si>
    <t>01:21 PM</t>
  </si>
  <si>
    <t>1122-11808</t>
  </si>
  <si>
    <t>DEMEK SA DE CV</t>
  </si>
  <si>
    <t>1122-12098</t>
  </si>
  <si>
    <t>D-ALTA INSTALACION Y DISEÑO ELECTRICO SA DE CV</t>
  </si>
  <si>
    <t>1122-21061</t>
  </si>
  <si>
    <t>ALMACENES DISTRIBUIDORES DE LA FRONTERA SA</t>
  </si>
  <si>
    <t>1122-31032</t>
  </si>
  <si>
    <t>AUTO BATERIAS DEL NOROESTE S DE RL DE CV</t>
  </si>
  <si>
    <t>1125-10018</t>
  </si>
  <si>
    <t>SERGIO A. GRAJEDA FERNANDEZ</t>
  </si>
  <si>
    <t>1191-10003</t>
  </si>
  <si>
    <t>2119-10019</t>
  </si>
  <si>
    <t>C.F.E</t>
  </si>
  <si>
    <t>2119-10031</t>
  </si>
  <si>
    <t>CIA. MADERERA DE CHIH SUCESORES SA DE CV</t>
  </si>
  <si>
    <t>2119-10033</t>
  </si>
  <si>
    <t>2151-11525</t>
  </si>
  <si>
    <t>2151-11943</t>
  </si>
  <si>
    <t>8130</t>
  </si>
  <si>
    <t>MODIFICACIONES A LA LEY DE INGRESOS ESTIMADA</t>
  </si>
  <si>
    <t>8130-73</t>
  </si>
  <si>
    <t>8130-73-1</t>
  </si>
  <si>
    <t>8130-73-1-10004</t>
  </si>
  <si>
    <t>8130-73-1-20003</t>
  </si>
  <si>
    <t>8130-73-1-20004</t>
  </si>
  <si>
    <t>8130-73-1-30002</t>
  </si>
  <si>
    <t>8130-73-1-30003</t>
  </si>
  <si>
    <t>8130-73-1-30004</t>
  </si>
  <si>
    <t>8130-73-1-50002</t>
  </si>
  <si>
    <t>8130-73-1-50004</t>
  </si>
  <si>
    <t>8130-73-1-70004</t>
  </si>
  <si>
    <t>8130-73-2</t>
  </si>
  <si>
    <t>8130-73-2-10001</t>
  </si>
  <si>
    <t>8130-79-01</t>
  </si>
  <si>
    <t>8130-79-01-10001</t>
  </si>
  <si>
    <t>8130-79-01-10002</t>
  </si>
  <si>
    <t>8130-79-01-10004</t>
  </si>
  <si>
    <t>8230-14898-0101-01-14401-1</t>
  </si>
  <si>
    <t>8230-14898-0102-01-13202-1</t>
  </si>
  <si>
    <t>8230-14898-0102-01-14401-1</t>
  </si>
  <si>
    <t>8230-14898-0201-01-14401-1</t>
  </si>
  <si>
    <t>8230-14898-0202-01-13202-1</t>
  </si>
  <si>
    <t>8230-14898-0202-01-14401-1</t>
  </si>
  <si>
    <t>8240-14898-0101-01-13201-1</t>
  </si>
  <si>
    <t>8240-14898-0102-09-35801-1</t>
  </si>
  <si>
    <t>8240-14898-0201-01-13201-1</t>
  </si>
  <si>
    <t>8250-14898-0101-01-13201-1</t>
  </si>
  <si>
    <t>8250-14898-0102-09-35801-1</t>
  </si>
  <si>
    <t>8250-14898-0201-01-13201-1</t>
  </si>
  <si>
    <t>8260-14898-0101-01-13201-1</t>
  </si>
  <si>
    <t>8260-14898-0102-09-35801-1</t>
  </si>
  <si>
    <t>8260-14898-0201-01-13201-1</t>
  </si>
  <si>
    <t>8270-14898-0101-01-13201-1</t>
  </si>
  <si>
    <t>8270-14898-0102-09-35801-1</t>
  </si>
  <si>
    <t>8270-14898-0201-01-13201-1</t>
  </si>
  <si>
    <t>Page 51</t>
  </si>
  <si>
    <t>Page 52</t>
  </si>
  <si>
    <t>Del 1 de enero al 31 de diciembre de 2021</t>
  </si>
  <si>
    <t>Al 31 de diciembre de 2021</t>
  </si>
  <si>
    <t>DEL 1 DE ENERO AL 31 DE DICIEMBRE DE 2021</t>
  </si>
  <si>
    <t>DICIEMBRE DE 2021</t>
  </si>
  <si>
    <t>Fecha de actualización: 31 de diciembre de 2021</t>
  </si>
  <si>
    <t>RELACIÓN DE SUPERFICIES DISPONIBLES EN TERRENOS DICIEMBRE 2021</t>
  </si>
  <si>
    <t>Del 01/01/2018 al 31/12/2021</t>
  </si>
  <si>
    <t>100200 B</t>
  </si>
  <si>
    <t>100202 B</t>
  </si>
  <si>
    <t>100203 B</t>
  </si>
  <si>
    <t>100205 B</t>
  </si>
  <si>
    <t>100206 B</t>
  </si>
  <si>
    <t>22/12/2021</t>
  </si>
  <si>
    <t>100631 B</t>
  </si>
  <si>
    <t>99286 B</t>
  </si>
  <si>
    <t>99749 B</t>
  </si>
  <si>
    <t>100209 B</t>
  </si>
  <si>
    <t>100557 B</t>
  </si>
  <si>
    <t>100225 B</t>
  </si>
  <si>
    <t>100296 B</t>
  </si>
  <si>
    <t>100297 B</t>
  </si>
  <si>
    <t>100299 B</t>
  </si>
  <si>
    <t>100300 B</t>
  </si>
  <si>
    <t>100301 B</t>
  </si>
  <si>
    <t>100303 B</t>
  </si>
  <si>
    <t>Express Tres Fronteras S.A. de C.V.</t>
  </si>
  <si>
    <t>100311 B</t>
  </si>
  <si>
    <t>100312 B</t>
  </si>
  <si>
    <t>100314 B</t>
  </si>
  <si>
    <t>100226 B</t>
  </si>
  <si>
    <t>100227 B</t>
  </si>
  <si>
    <t>100228 B</t>
  </si>
  <si>
    <t>100229 B</t>
  </si>
  <si>
    <t>100230 B</t>
  </si>
  <si>
    <t>100231 B</t>
  </si>
  <si>
    <t>100232 B</t>
  </si>
  <si>
    <t>100464 B</t>
  </si>
  <si>
    <t>100465 B</t>
  </si>
  <si>
    <t>100466 B</t>
  </si>
  <si>
    <t>100216 B</t>
  </si>
  <si>
    <t>VTC West S.A. de C.V.</t>
  </si>
  <si>
    <t>100316 B</t>
  </si>
  <si>
    <t>100467 B</t>
  </si>
  <si>
    <t>100317 B</t>
  </si>
  <si>
    <t>100222 B</t>
  </si>
  <si>
    <t>100223 B</t>
  </si>
  <si>
    <t>100217 B</t>
  </si>
  <si>
    <t>100426 B</t>
  </si>
  <si>
    <t>100323 B</t>
  </si>
  <si>
    <t>Servicios Garica SA DE CV</t>
  </si>
  <si>
    <t>100218 B</t>
  </si>
  <si>
    <t>100327 B</t>
  </si>
  <si>
    <t>100606 B</t>
  </si>
  <si>
    <t>100623 B</t>
  </si>
  <si>
    <t>ALBAUGH MEXICO SRL DE CV</t>
  </si>
  <si>
    <t>100254 B</t>
  </si>
  <si>
    <t>100224 B</t>
  </si>
  <si>
    <t>100341 B</t>
  </si>
  <si>
    <t>30/12/2021</t>
  </si>
  <si>
    <t>100634 B</t>
  </si>
  <si>
    <t>Proveedora de Servicios y Cultura Fisica DABSE SA de CV</t>
  </si>
  <si>
    <t>100600 B</t>
  </si>
  <si>
    <t>Marlo Industrias S.A de C.V.</t>
  </si>
  <si>
    <t>100345 B</t>
  </si>
  <si>
    <t>100234 B</t>
  </si>
  <si>
    <t>100618 B</t>
  </si>
  <si>
    <t>100259 B</t>
  </si>
  <si>
    <t>100566 B</t>
  </si>
  <si>
    <t>100567 B</t>
  </si>
  <si>
    <t>100235 B</t>
  </si>
  <si>
    <t>100236 B</t>
  </si>
  <si>
    <t>100237 B</t>
  </si>
  <si>
    <t>100476 B</t>
  </si>
  <si>
    <t>27/12/2021</t>
  </si>
  <si>
    <t>100632 B</t>
  </si>
  <si>
    <t>100483 B</t>
  </si>
  <si>
    <t>100484 B</t>
  </si>
  <si>
    <t>100489 B</t>
  </si>
  <si>
    <t>100490 B</t>
  </si>
  <si>
    <t>100493 B</t>
  </si>
  <si>
    <t>100494 B</t>
  </si>
  <si>
    <t>100495 B</t>
  </si>
  <si>
    <t>100499 B</t>
  </si>
  <si>
    <t>100503 B</t>
  </si>
  <si>
    <t>100263 B</t>
  </si>
  <si>
    <t>100264 B</t>
  </si>
  <si>
    <t>100244 B</t>
  </si>
  <si>
    <t>100238 B</t>
  </si>
  <si>
    <t>Luis Antonio Montoya Jaquez</t>
  </si>
  <si>
    <t>100595 B</t>
  </si>
  <si>
    <t>100509 B</t>
  </si>
  <si>
    <t>100463 B</t>
  </si>
  <si>
    <t>100511 B</t>
  </si>
  <si>
    <t>100460 B</t>
  </si>
  <si>
    <t>100514 B</t>
  </si>
  <si>
    <t>100515 B</t>
  </si>
  <si>
    <t>100516 B</t>
  </si>
  <si>
    <t>100520 B</t>
  </si>
  <si>
    <t>100468 B</t>
  </si>
  <si>
    <t>100526 B</t>
  </si>
  <si>
    <t>Aceros Levinson S.A. de C.V.</t>
  </si>
  <si>
    <t>100530 B</t>
  </si>
  <si>
    <t>100533 B</t>
  </si>
  <si>
    <t>99836 B</t>
  </si>
  <si>
    <t>DSV AIR &amp; SEA S.A. DE C.V.</t>
  </si>
  <si>
    <t>100555 B</t>
  </si>
  <si>
    <t>100538 B</t>
  </si>
  <si>
    <t>100541 B</t>
  </si>
  <si>
    <t>100633 B</t>
  </si>
  <si>
    <t>100554 B</t>
  </si>
  <si>
    <t>100240 B</t>
  </si>
  <si>
    <t>100241 B</t>
  </si>
  <si>
    <t>100242 B</t>
  </si>
  <si>
    <t>100243 B</t>
  </si>
  <si>
    <t>100597 B</t>
  </si>
  <si>
    <t>100592 B</t>
  </si>
  <si>
    <t>100406 B</t>
  </si>
  <si>
    <t>100605 B</t>
  </si>
  <si>
    <t>PALOMINO MAKINOVO, SA DE CV</t>
  </si>
  <si>
    <t>100409 B</t>
  </si>
  <si>
    <t>100410 B</t>
  </si>
  <si>
    <t>100412 B</t>
  </si>
  <si>
    <t>FLETES BURA DE CHIHUAHUA, S.A. DE C.V.</t>
  </si>
  <si>
    <t>100415 B</t>
  </si>
  <si>
    <t>100416 B</t>
  </si>
  <si>
    <t>100417 B</t>
  </si>
  <si>
    <t>100419 B</t>
  </si>
  <si>
    <t>100420 B</t>
  </si>
  <si>
    <t>100421 B</t>
  </si>
  <si>
    <t>100422 B</t>
  </si>
  <si>
    <t>100390 B</t>
  </si>
  <si>
    <t>100391 B</t>
  </si>
  <si>
    <t>100394 B</t>
  </si>
  <si>
    <t>100395 B</t>
  </si>
  <si>
    <t>100399 B</t>
  </si>
  <si>
    <t>100386 B</t>
  </si>
  <si>
    <t>100385 B</t>
  </si>
  <si>
    <t>100384 B</t>
  </si>
  <si>
    <t>DISTRIBUICIONES AVIL SA DE CV</t>
  </si>
  <si>
    <t>100377 B</t>
  </si>
  <si>
    <t>100376 B</t>
  </si>
  <si>
    <t>100374 B</t>
  </si>
  <si>
    <t>100367 B</t>
  </si>
  <si>
    <t>100365 B</t>
  </si>
  <si>
    <t>100360 B</t>
  </si>
  <si>
    <t>100356 B</t>
  </si>
  <si>
    <t>100355 B</t>
  </si>
  <si>
    <t>100351 B</t>
  </si>
  <si>
    <t>100348 B</t>
  </si>
  <si>
    <t>100347 B</t>
  </si>
  <si>
    <t>D-ALTA INSTALACION Y DISENO ELECTRICO SA DE CV</t>
  </si>
  <si>
    <t>21/12/2021</t>
  </si>
  <si>
    <t>100630 B</t>
  </si>
  <si>
    <t>100441 B</t>
  </si>
  <si>
    <t>100619 B</t>
  </si>
  <si>
    <t>100204 B</t>
  </si>
  <si>
    <t>100328 B</t>
  </si>
  <si>
    <t>100616 B</t>
  </si>
  <si>
    <t>100260 B</t>
  </si>
  <si>
    <t>100607 B</t>
  </si>
  <si>
    <t>100559 B</t>
  </si>
  <si>
    <t>100609 B</t>
  </si>
  <si>
    <t>100276 B</t>
  </si>
  <si>
    <t>100352 B</t>
  </si>
  <si>
    <t>100578 B</t>
  </si>
  <si>
    <t>100587 B</t>
  </si>
  <si>
    <t>100604 B</t>
  </si>
  <si>
    <t>100570 B</t>
  </si>
  <si>
    <t>100571 B</t>
  </si>
  <si>
    <t>100573 B</t>
  </si>
  <si>
    <t>100577 B</t>
  </si>
  <si>
    <t>100245 B</t>
  </si>
  <si>
    <t>100439 B</t>
  </si>
  <si>
    <t>100440 B</t>
  </si>
  <si>
    <t>DICIEMBRE.2021</t>
  </si>
  <si>
    <t xml:space="preserve">B100634    </t>
  </si>
  <si>
    <t xml:space="preserve">B100632    </t>
  </si>
  <si>
    <t xml:space="preserve">B100633    </t>
  </si>
  <si>
    <t xml:space="preserve">B100631    </t>
  </si>
  <si>
    <t>DID130620A47</t>
  </si>
  <si>
    <t xml:space="preserve">B100630    </t>
  </si>
  <si>
    <t xml:space="preserve">B100623    </t>
  </si>
  <si>
    <t xml:space="preserve">B100618    </t>
  </si>
  <si>
    <t xml:space="preserve">B100619    </t>
  </si>
  <si>
    <t xml:space="preserve">B100616    </t>
  </si>
  <si>
    <t xml:space="preserve">B100606    </t>
  </si>
  <si>
    <t>Proveedora de Servicios y Cultura Fisica DABSE</t>
  </si>
  <si>
    <t>PSC120420MD3</t>
  </si>
  <si>
    <t xml:space="preserve">B100600    </t>
  </si>
  <si>
    <t xml:space="preserve">B100607    </t>
  </si>
  <si>
    <t>MOJL6912298Z6</t>
  </si>
  <si>
    <t xml:space="preserve">B100595    </t>
  </si>
  <si>
    <t xml:space="preserve">B100597    </t>
  </si>
  <si>
    <t xml:space="preserve">B100592    </t>
  </si>
  <si>
    <t xml:space="preserve">B100605    </t>
  </si>
  <si>
    <t xml:space="preserve">B100609    </t>
  </si>
  <si>
    <t xml:space="preserve">B100578    </t>
  </si>
  <si>
    <t xml:space="preserve">B100587    </t>
  </si>
  <si>
    <t xml:space="preserve">B100604    </t>
  </si>
  <si>
    <t xml:space="preserve">B100570    </t>
  </si>
  <si>
    <t xml:space="preserve">B100571    </t>
  </si>
  <si>
    <t xml:space="preserve">B100573    </t>
  </si>
  <si>
    <t>ABN191216RCA</t>
  </si>
  <si>
    <t xml:space="preserve">B100577    </t>
  </si>
  <si>
    <t>INTEGRATED INTERNATIONAL SERVICES S DE RL DE C</t>
  </si>
  <si>
    <t>IIS990428EH5</t>
  </si>
  <si>
    <t xml:space="preserve">B100557    </t>
  </si>
  <si>
    <t xml:space="preserve">B100464    </t>
  </si>
  <si>
    <t xml:space="preserve">B100465    </t>
  </si>
  <si>
    <t xml:space="preserve">B100466    </t>
  </si>
  <si>
    <t xml:space="preserve">B100467    </t>
  </si>
  <si>
    <t xml:space="preserve">B100441    </t>
  </si>
  <si>
    <t xml:space="preserve">B100566    </t>
  </si>
  <si>
    <t xml:space="preserve">B100567    </t>
  </si>
  <si>
    <t xml:space="preserve">B100476    </t>
  </si>
  <si>
    <t>PMP950301S62</t>
  </si>
  <si>
    <t xml:space="preserve">B100483    </t>
  </si>
  <si>
    <t xml:space="preserve">B100484    </t>
  </si>
  <si>
    <t xml:space="preserve">B100559    </t>
  </si>
  <si>
    <t xml:space="preserve">B100489    </t>
  </si>
  <si>
    <t xml:space="preserve">B100490    </t>
  </si>
  <si>
    <t xml:space="preserve">B100493    </t>
  </si>
  <si>
    <t xml:space="preserve">B100494    </t>
  </si>
  <si>
    <t xml:space="preserve">B100495    </t>
  </si>
  <si>
    <t xml:space="preserve">B100499    </t>
  </si>
  <si>
    <t xml:space="preserve">B100503    </t>
  </si>
  <si>
    <t xml:space="preserve">B100509    </t>
  </si>
  <si>
    <t xml:space="preserve">B100463    </t>
  </si>
  <si>
    <t xml:space="preserve">B100511    </t>
  </si>
  <si>
    <t xml:space="preserve">B100460    </t>
  </si>
  <si>
    <t xml:space="preserve">B100514    </t>
  </si>
  <si>
    <t xml:space="preserve">B100515    </t>
  </si>
  <si>
    <t xml:space="preserve">B100516    </t>
  </si>
  <si>
    <t xml:space="preserve">B100520    </t>
  </si>
  <si>
    <t xml:space="preserve">B100468    </t>
  </si>
  <si>
    <t xml:space="preserve">B100526    </t>
  </si>
  <si>
    <t>ALE870612DS8</t>
  </si>
  <si>
    <t xml:space="preserve">B100530    </t>
  </si>
  <si>
    <t xml:space="preserve">B100533    </t>
  </si>
  <si>
    <t>DAA020218JY1</t>
  </si>
  <si>
    <t xml:space="preserve">B100555    </t>
  </si>
  <si>
    <t xml:space="preserve">B100538    </t>
  </si>
  <si>
    <t xml:space="preserve">B100541    </t>
  </si>
  <si>
    <t xml:space="preserve">B100554    </t>
  </si>
  <si>
    <t xml:space="preserve">B100200    </t>
  </si>
  <si>
    <t xml:space="preserve">B100202    </t>
  </si>
  <si>
    <t xml:space="preserve">B100203    </t>
  </si>
  <si>
    <t xml:space="preserve">B100204    </t>
  </si>
  <si>
    <t xml:space="preserve">B100205    </t>
  </si>
  <si>
    <t xml:space="preserve">B100206    </t>
  </si>
  <si>
    <t xml:space="preserve">B100209    </t>
  </si>
  <si>
    <t xml:space="preserve">B100225    </t>
  </si>
  <si>
    <t xml:space="preserve">B100296    </t>
  </si>
  <si>
    <t xml:space="preserve">B100297    </t>
  </si>
  <si>
    <t xml:space="preserve">B100299    </t>
  </si>
  <si>
    <t xml:space="preserve">B100300    </t>
  </si>
  <si>
    <t xml:space="preserve">B100301    </t>
  </si>
  <si>
    <t xml:space="preserve">B100303    </t>
  </si>
  <si>
    <t>ETF920314647</t>
  </si>
  <si>
    <t xml:space="preserve">B100311    </t>
  </si>
  <si>
    <t xml:space="preserve">B100312    </t>
  </si>
  <si>
    <t xml:space="preserve">B100314    </t>
  </si>
  <si>
    <t xml:space="preserve">B100226    </t>
  </si>
  <si>
    <t xml:space="preserve">B100227    </t>
  </si>
  <si>
    <t xml:space="preserve">B100228    </t>
  </si>
  <si>
    <t xml:space="preserve">B100229    </t>
  </si>
  <si>
    <t xml:space="preserve">B100230    </t>
  </si>
  <si>
    <t xml:space="preserve">B100231    </t>
  </si>
  <si>
    <t xml:space="preserve">B100232    </t>
  </si>
  <si>
    <t xml:space="preserve">B100216    </t>
  </si>
  <si>
    <t>VWE941108R74</t>
  </si>
  <si>
    <t xml:space="preserve">B100316    </t>
  </si>
  <si>
    <t xml:space="preserve">B100317    </t>
  </si>
  <si>
    <t xml:space="preserve">B100222    </t>
  </si>
  <si>
    <t xml:space="preserve">B100223    </t>
  </si>
  <si>
    <t xml:space="preserve">B100217    </t>
  </si>
  <si>
    <t xml:space="preserve">B100426    </t>
  </si>
  <si>
    <t xml:space="preserve">B100323    </t>
  </si>
  <si>
    <t xml:space="preserve">B100218    </t>
  </si>
  <si>
    <t xml:space="preserve">B100328    </t>
  </si>
  <si>
    <t xml:space="preserve">B100327    </t>
  </si>
  <si>
    <t>AGR030910EF9</t>
  </si>
  <si>
    <t xml:space="preserve">B100254    </t>
  </si>
  <si>
    <t xml:space="preserve">B100224    </t>
  </si>
  <si>
    <t xml:space="preserve">B100341    </t>
  </si>
  <si>
    <t>Marlo Industrias S.A. de C.V.</t>
  </si>
  <si>
    <t>MIN030715FY7</t>
  </si>
  <si>
    <t xml:space="preserve">B100345    </t>
  </si>
  <si>
    <t xml:space="preserve">B100234    </t>
  </si>
  <si>
    <t xml:space="preserve">B100259    </t>
  </si>
  <si>
    <t xml:space="preserve">B100260    </t>
  </si>
  <si>
    <t xml:space="preserve">B100235    </t>
  </si>
  <si>
    <t xml:space="preserve">B100236    </t>
  </si>
  <si>
    <t xml:space="preserve">B100237    </t>
  </si>
  <si>
    <t xml:space="preserve">B100263    </t>
  </si>
  <si>
    <t xml:space="preserve">B100264    </t>
  </si>
  <si>
    <t xml:space="preserve">B100244    </t>
  </si>
  <si>
    <t xml:space="preserve">B100238    </t>
  </si>
  <si>
    <t xml:space="preserve">B100240    </t>
  </si>
  <si>
    <t xml:space="preserve">B100241    </t>
  </si>
  <si>
    <t xml:space="preserve">B100242    </t>
  </si>
  <si>
    <t xml:space="preserve">B100243    </t>
  </si>
  <si>
    <t xml:space="preserve">B100406    </t>
  </si>
  <si>
    <t>PALOMINO MAKINOVO SA DE CV</t>
  </si>
  <si>
    <t>PRE1101229K4</t>
  </si>
  <si>
    <t xml:space="preserve">B100410    </t>
  </si>
  <si>
    <t xml:space="preserve">B100409    </t>
  </si>
  <si>
    <t xml:space="preserve">B100412    </t>
  </si>
  <si>
    <t>FBC140708HL1</t>
  </si>
  <si>
    <t xml:space="preserve">B100415    </t>
  </si>
  <si>
    <t xml:space="preserve">B100416    </t>
  </si>
  <si>
    <t xml:space="preserve">B100417    </t>
  </si>
  <si>
    <t xml:space="preserve">B100419    </t>
  </si>
  <si>
    <t xml:space="preserve">B100420    </t>
  </si>
  <si>
    <t xml:space="preserve">B100421    </t>
  </si>
  <si>
    <t xml:space="preserve">B100422    </t>
  </si>
  <si>
    <t xml:space="preserve">B100390    </t>
  </si>
  <si>
    <t>BCE081217GW7</t>
  </si>
  <si>
    <t xml:space="preserve">B100391    </t>
  </si>
  <si>
    <t xml:space="preserve">B100394    </t>
  </si>
  <si>
    <t xml:space="preserve">B100395    </t>
  </si>
  <si>
    <t xml:space="preserve">B100399    </t>
  </si>
  <si>
    <t xml:space="preserve">B100386    </t>
  </si>
  <si>
    <t>AME910613T49</t>
  </si>
  <si>
    <t xml:space="preserve">B100276    </t>
  </si>
  <si>
    <t>SRL041206UH2</t>
  </si>
  <si>
    <t xml:space="preserve">B100385    </t>
  </si>
  <si>
    <t xml:space="preserve">B100384    </t>
  </si>
  <si>
    <t>DAV9503096W5</t>
  </si>
  <si>
    <t xml:space="preserve">B100377    </t>
  </si>
  <si>
    <t xml:space="preserve">B100376    </t>
  </si>
  <si>
    <t xml:space="preserve">B100374    </t>
  </si>
  <si>
    <t>FII200305UX9</t>
  </si>
  <si>
    <t xml:space="preserve">B100367    </t>
  </si>
  <si>
    <t xml:space="preserve">B100365    </t>
  </si>
  <si>
    <t>FUENTES DE ALMACENAMIENTO SERVICIO Y TECNOLOGI</t>
  </si>
  <si>
    <t>FAS100322U78</t>
  </si>
  <si>
    <t xml:space="preserve">B100360    </t>
  </si>
  <si>
    <t xml:space="preserve">B100356    </t>
  </si>
  <si>
    <t>HTG050509RJ5</t>
  </si>
  <si>
    <t xml:space="preserve">B100355    </t>
  </si>
  <si>
    <t xml:space="preserve">B100352    </t>
  </si>
  <si>
    <t xml:space="preserve">B100351    </t>
  </si>
  <si>
    <t xml:space="preserve">B100348    </t>
  </si>
  <si>
    <t xml:space="preserve">B100347    </t>
  </si>
  <si>
    <t xml:space="preserve">B100245    </t>
  </si>
  <si>
    <t xml:space="preserve">B100439    </t>
  </si>
  <si>
    <t xml:space="preserve">B100440    </t>
  </si>
  <si>
    <t xml:space="preserve">B99749     </t>
  </si>
  <si>
    <t xml:space="preserve">B99836     </t>
  </si>
  <si>
    <t xml:space="preserve">90 días </t>
  </si>
  <si>
    <t xml:space="preserve">B99286     </t>
  </si>
  <si>
    <t>180 días</t>
  </si>
  <si>
    <t xml:space="preserve">360 días </t>
  </si>
  <si>
    <t>Tesorería de la Federación</t>
  </si>
  <si>
    <t>Ecogas Mexico S. de R.L. de C.V.</t>
  </si>
  <si>
    <t>Compañía Maderera de Chih. Sucesores S.A. de C.V.</t>
  </si>
  <si>
    <t>Juan Luis Lee Vázquez</t>
  </si>
  <si>
    <t>Tractocamiones Kenworth de Chih. S.A. de C.V.</t>
  </si>
  <si>
    <t>Alto Terra S.A. de C.V.</t>
  </si>
  <si>
    <t>Provisión de derechos de agua e ISR anual</t>
  </si>
  <si>
    <t>Provisión de electricidad del mes de diciembre</t>
  </si>
  <si>
    <t>Provisión de gas del mes de diciembre</t>
  </si>
  <si>
    <t>Provisión de gastos del mes de diciembre</t>
  </si>
  <si>
    <t>Provisión de gastos de caja chica del mes de diciembre</t>
  </si>
  <si>
    <t>Derechos de agua e ISR anual</t>
  </si>
  <si>
    <t>Gastos provisionados por cierre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</si>
</sst>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;\-&quot;$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-* #,##0.0000_-;\-* #,##0.0000_-;_-* &quot;-&quot;????_-;_-@_-"/>
    <numFmt numFmtId="169" formatCode="_(* #,##0.0_);_(* \(#,##0.0\);_(* &quot;-&quot;??_);_(@_)"/>
    <numFmt numFmtId="170" formatCode="#,##0.00_ ;\-#,##0.00\ "/>
    <numFmt numFmtId="171" formatCode="0_ ;\-0\ "/>
    <numFmt numFmtId="172" formatCode="General_)"/>
    <numFmt numFmtId="173" formatCode="#,##0_ ;\-#,##0\ "/>
    <numFmt numFmtId="174" formatCode="_-* #,##0_-;\-* #,##0_-;_-* &quot;-&quot;??_-;_-@_-"/>
    <numFmt numFmtId="175" formatCode="&quot;$&quot;#,##0.00"/>
    <numFmt numFmtId="176" formatCode="_(* #,##0.0000_);_(* \(#,##0.0000\);_(* &quot;-&quot;??_);_(@_)"/>
    <numFmt numFmtId="177" formatCode="#,##0.00_ ;[Red]\-#,##0.00\ "/>
    <numFmt numFmtId="178" formatCode="_-* #,##0.0000_-;\-* #,##0.0000_-;_-* &quot;-&quot;??_-;_-@_-"/>
    <numFmt numFmtId="179" formatCode="0.0%"/>
    <numFmt numFmtId="180" formatCode="0.00000%"/>
  </numFmts>
  <fonts count="2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theme="0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indexed="8"/>
      <name val="MS Sans Serif"/>
      <family val="2"/>
    </font>
    <font>
      <b/>
      <sz val="9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color rgb="FFFFFF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Microsoft Sans Serif"/>
      <family val="2"/>
    </font>
    <font>
      <b/>
      <u/>
      <sz val="8"/>
      <color rgb="FF000000"/>
      <name val="Microsoft Sans Serif"/>
      <family val="2"/>
    </font>
    <font>
      <b/>
      <sz val="14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  <font>
      <sz val="8"/>
      <color rgb="FFFF0000"/>
      <name val="Microsoft Sans Serif"/>
      <family val="2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b/>
      <sz val="8"/>
      <color theme="1"/>
      <name val="Microsoft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0"/>
      <name val="Gotham Light"/>
    </font>
    <font>
      <sz val="14"/>
      <name val="Gotham Light"/>
    </font>
    <font>
      <b/>
      <i/>
      <u/>
      <sz val="11"/>
      <name val="Gotham Light"/>
    </font>
    <font>
      <b/>
      <sz val="11"/>
      <name val="Gotham Light"/>
    </font>
    <font>
      <sz val="11"/>
      <name val="Gotham Light"/>
    </font>
    <font>
      <b/>
      <sz val="14"/>
      <color rgb="FF0070C0"/>
      <name val="Gotham Bold"/>
    </font>
    <font>
      <b/>
      <sz val="11"/>
      <color indexed="17"/>
      <name val="Gotham Light"/>
    </font>
    <font>
      <sz val="11"/>
      <color theme="9" tint="-0.499984740745262"/>
      <name val="Gotham Light"/>
    </font>
    <font>
      <b/>
      <sz val="13"/>
      <color indexed="53"/>
      <name val="Gotham Light"/>
    </font>
    <font>
      <b/>
      <sz val="12"/>
      <color theme="0"/>
      <name val="Gotham Light"/>
    </font>
    <font>
      <b/>
      <sz val="11"/>
      <color indexed="53"/>
      <name val="Gotham Light"/>
    </font>
    <font>
      <sz val="11"/>
      <color indexed="12"/>
      <name val="Gotham Light"/>
    </font>
    <font>
      <b/>
      <sz val="11"/>
      <color indexed="12"/>
      <name val="Gotham Light"/>
    </font>
    <font>
      <sz val="13"/>
      <name val="Gotham Light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3192"/>
      <name val="Arial"/>
      <family val="2"/>
    </font>
    <font>
      <sz val="9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C00000"/>
      <name val="Arial"/>
      <family val="2"/>
    </font>
    <font>
      <sz val="11"/>
      <color rgb="FF000000"/>
      <name val="Calibri"/>
      <family val="2"/>
    </font>
    <font>
      <b/>
      <sz val="9"/>
      <color rgb="FF00B0F0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u/>
      <sz val="8"/>
      <color rgb="FF000000"/>
      <name val="Arial"/>
      <family val="2"/>
    </font>
    <font>
      <sz val="7"/>
      <color rgb="FFFF0000"/>
      <name val="Arial"/>
      <family val="2"/>
    </font>
    <font>
      <sz val="10"/>
      <color rgb="FF0052F6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7"/>
      <color rgb="FF000000"/>
      <name val="Arial"/>
      <family val="2"/>
    </font>
    <font>
      <sz val="6.5"/>
      <color rgb="FF000000"/>
      <name val="Arial"/>
      <family val="2"/>
    </font>
    <font>
      <sz val="7"/>
      <color indexed="21"/>
      <name val="Arial"/>
      <family val="2"/>
    </font>
    <font>
      <b/>
      <sz val="7"/>
      <color indexed="8"/>
      <name val="Arial"/>
      <family val="2"/>
    </font>
    <font>
      <sz val="7"/>
      <color indexed="12"/>
      <name val="Arial"/>
      <family val="2"/>
    </font>
    <font>
      <sz val="8"/>
      <color theme="1"/>
      <name val="Calibri"/>
      <family val="2"/>
      <scheme val="minor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b/>
      <sz val="11"/>
      <color rgb="FF0000FF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C3B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165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15" fillId="23" borderId="4" applyNumberFormat="0" applyFont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38" fontId="9" fillId="0" borderId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43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2" fontId="9" fillId="0" borderId="0"/>
    <xf numFmtId="0" fontId="7" fillId="0" borderId="0"/>
    <xf numFmtId="43" fontId="17" fillId="0" borderId="0" applyFont="0" applyFill="0" applyBorder="0" applyAlignment="0" applyProtection="0"/>
    <xf numFmtId="0" fontId="103" fillId="0" borderId="0"/>
    <xf numFmtId="43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43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111" fillId="0" borderId="0">
      <alignment vertical="top"/>
    </xf>
    <xf numFmtId="43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0" borderId="0">
      <alignment vertical="top"/>
    </xf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17" fillId="0" borderId="0">
      <alignment vertical="top"/>
    </xf>
    <xf numFmtId="0" fontId="118" fillId="0" borderId="0">
      <alignment vertical="top"/>
    </xf>
    <xf numFmtId="0" fontId="119" fillId="0" borderId="0"/>
    <xf numFmtId="0" fontId="120" fillId="0" borderId="0">
      <alignment vertical="top"/>
    </xf>
    <xf numFmtId="0" fontId="121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43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3" fillId="0" borderId="0">
      <alignment vertical="top"/>
    </xf>
    <xf numFmtId="0" fontId="124" fillId="0" borderId="0"/>
    <xf numFmtId="43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1" fillId="0" borderId="0">
      <alignment vertical="top"/>
    </xf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40" fillId="0" borderId="0"/>
    <xf numFmtId="0" fontId="3" fillId="0" borderId="0"/>
    <xf numFmtId="0" fontId="147" fillId="0" borderId="0"/>
    <xf numFmtId="0" fontId="148" fillId="0" borderId="0">
      <alignment vertical="top"/>
    </xf>
    <xf numFmtId="0" fontId="149" fillId="0" borderId="0">
      <alignment vertical="top"/>
    </xf>
    <xf numFmtId="0" fontId="150" fillId="0" borderId="0"/>
    <xf numFmtId="0" fontId="152" fillId="0" borderId="0">
      <alignment vertical="top"/>
    </xf>
    <xf numFmtId="0" fontId="153" fillId="0" borderId="0"/>
    <xf numFmtId="43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69" fillId="0" borderId="0">
      <alignment vertical="top"/>
    </xf>
    <xf numFmtId="0" fontId="170" fillId="0" borderId="0">
      <alignment vertical="top"/>
    </xf>
    <xf numFmtId="9" fontId="9" fillId="0" borderId="0" applyFont="0" applyFill="0" applyBorder="0" applyAlignment="0" applyProtection="0"/>
    <xf numFmtId="43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0" fontId="172" fillId="0" borderId="0"/>
    <xf numFmtId="0" fontId="173" fillId="0" borderId="0"/>
    <xf numFmtId="43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2" fillId="0" borderId="0"/>
    <xf numFmtId="43" fontId="197" fillId="0" borderId="0" applyFont="0" applyFill="0" applyBorder="0" applyAlignment="0" applyProtection="0"/>
    <xf numFmtId="9" fontId="197" fillId="0" borderId="0" applyFont="0" applyFill="0" applyBorder="0" applyAlignment="0" applyProtection="0"/>
  </cellStyleXfs>
  <cellXfs count="2052">
    <xf numFmtId="0" fontId="0" fillId="0" borderId="0" xfId="0"/>
    <xf numFmtId="0" fontId="10" fillId="0" borderId="0" xfId="0" applyFont="1"/>
    <xf numFmtId="0" fontId="12" fillId="0" borderId="0" xfId="0" applyFont="1"/>
    <xf numFmtId="0" fontId="11" fillId="0" borderId="0" xfId="0" applyFont="1"/>
    <xf numFmtId="165" fontId="0" fillId="0" borderId="0" xfId="33" applyFont="1"/>
    <xf numFmtId="166" fontId="10" fillId="0" borderId="0" xfId="33" applyNumberFormat="1" applyFont="1"/>
    <xf numFmtId="166" fontId="0" fillId="0" borderId="0" xfId="33" applyNumberFormat="1" applyFont="1"/>
    <xf numFmtId="0" fontId="15" fillId="0" borderId="0" xfId="0" applyFont="1"/>
    <xf numFmtId="0" fontId="12" fillId="0" borderId="0" xfId="0" applyFont="1" applyAlignment="1">
      <alignment horizontal="center"/>
    </xf>
    <xf numFmtId="166" fontId="12" fillId="0" borderId="0" xfId="33" applyNumberFormat="1" applyFont="1"/>
    <xf numFmtId="166" fontId="8" fillId="0" borderId="0" xfId="33" applyNumberFormat="1" applyFont="1"/>
    <xf numFmtId="166" fontId="12" fillId="0" borderId="0" xfId="33" applyNumberFormat="1" applyFont="1" applyAlignment="1">
      <alignment horizontal="center"/>
    </xf>
    <xf numFmtId="166" fontId="8" fillId="0" borderId="0" xfId="33" applyNumberFormat="1" applyFont="1" applyAlignment="1">
      <alignment horizontal="center"/>
    </xf>
    <xf numFmtId="166" fontId="9" fillId="0" borderId="0" xfId="33" applyNumberFormat="1"/>
    <xf numFmtId="166" fontId="15" fillId="0" borderId="0" xfId="33" applyNumberFormat="1" applyFont="1"/>
    <xf numFmtId="4" fontId="12" fillId="0" borderId="0" xfId="0" applyNumberFormat="1" applyFont="1"/>
    <xf numFmtId="0" fontId="0" fillId="0" borderId="10" xfId="0" applyBorder="1"/>
    <xf numFmtId="0" fontId="11" fillId="0" borderId="0" xfId="0" applyFont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0" fillId="0" borderId="10" xfId="0" applyFont="1" applyBorder="1"/>
    <xf numFmtId="0" fontId="10" fillId="0" borderId="11" xfId="0" applyFont="1" applyBorder="1"/>
    <xf numFmtId="0" fontId="11" fillId="0" borderId="10" xfId="0" applyFont="1" applyBorder="1" applyAlignment="1">
      <alignment horizontal="left"/>
    </xf>
    <xf numFmtId="166" fontId="10" fillId="0" borderId="12" xfId="33" applyNumberFormat="1" applyFont="1" applyBorder="1"/>
    <xf numFmtId="0" fontId="12" fillId="0" borderId="13" xfId="0" applyFont="1" applyBorder="1"/>
    <xf numFmtId="0" fontId="12" fillId="0" borderId="14" xfId="0" applyFont="1" applyBorder="1"/>
    <xf numFmtId="4" fontId="15" fillId="0" borderId="0" xfId="0" applyNumberFormat="1" applyFont="1"/>
    <xf numFmtId="4" fontId="12" fillId="0" borderId="15" xfId="0" applyNumberFormat="1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11" xfId="0" applyFont="1" applyBorder="1"/>
    <xf numFmtId="0" fontId="12" fillId="0" borderId="15" xfId="0" applyFont="1" applyBorder="1"/>
    <xf numFmtId="0" fontId="15" fillId="0" borderId="10" xfId="0" applyFont="1" applyBorder="1"/>
    <xf numFmtId="4" fontId="15" fillId="0" borderId="11" xfId="0" applyNumberFormat="1" applyFont="1" applyBorder="1"/>
    <xf numFmtId="166" fontId="12" fillId="0" borderId="14" xfId="33" applyNumberFormat="1" applyFont="1" applyBorder="1"/>
    <xf numFmtId="0" fontId="12" fillId="0" borderId="10" xfId="0" applyFont="1" applyBorder="1"/>
    <xf numFmtId="166" fontId="11" fillId="0" borderId="0" xfId="33" applyNumberFormat="1" applyFont="1" applyAlignment="1">
      <alignment horizontal="center"/>
    </xf>
    <xf numFmtId="166" fontId="11" fillId="0" borderId="12" xfId="33" applyNumberFormat="1" applyFont="1" applyBorder="1"/>
    <xf numFmtId="166" fontId="11" fillId="0" borderId="0" xfId="33" applyNumberFormat="1" applyFont="1"/>
    <xf numFmtId="166" fontId="12" fillId="0" borderId="16" xfId="33" applyNumberFormat="1" applyFont="1" applyBorder="1"/>
    <xf numFmtId="166" fontId="12" fillId="0" borderId="17" xfId="33" applyNumberFormat="1" applyFont="1" applyBorder="1"/>
    <xf numFmtId="166" fontId="9" fillId="0" borderId="12" xfId="33" applyNumberFormat="1" applyBorder="1"/>
    <xf numFmtId="166" fontId="9" fillId="0" borderId="16" xfId="33" applyNumberFormat="1" applyBorder="1"/>
    <xf numFmtId="166" fontId="12" fillId="0" borderId="0" xfId="47" applyNumberFormat="1" applyFont="1"/>
    <xf numFmtId="166" fontId="12" fillId="0" borderId="0" xfId="0" applyNumberFormat="1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2" fillId="24" borderId="13" xfId="0" applyFont="1" applyFill="1" applyBorder="1"/>
    <xf numFmtId="0" fontId="12" fillId="24" borderId="14" xfId="0" applyFont="1" applyFill="1" applyBorder="1"/>
    <xf numFmtId="166" fontId="15" fillId="0" borderId="16" xfId="33" applyNumberFormat="1" applyFont="1" applyBorder="1"/>
    <xf numFmtId="166" fontId="9" fillId="0" borderId="18" xfId="33" applyNumberFormat="1" applyBorder="1"/>
    <xf numFmtId="166" fontId="15" fillId="0" borderId="12" xfId="33" applyNumberFormat="1" applyFont="1" applyBorder="1"/>
    <xf numFmtId="0" fontId="13" fillId="24" borderId="13" xfId="0" applyFont="1" applyFill="1" applyBorder="1"/>
    <xf numFmtId="0" fontId="13" fillId="24" borderId="14" xfId="0" applyFont="1" applyFill="1" applyBorder="1"/>
    <xf numFmtId="0" fontId="13" fillId="24" borderId="15" xfId="0" applyFont="1" applyFill="1" applyBorder="1"/>
    <xf numFmtId="0" fontId="0" fillId="24" borderId="14" xfId="0" applyFill="1" applyBorder="1"/>
    <xf numFmtId="0" fontId="15" fillId="24" borderId="15" xfId="0" applyFont="1" applyFill="1" applyBorder="1"/>
    <xf numFmtId="166" fontId="0" fillId="0" borderId="0" xfId="33" applyNumberFormat="1" applyFont="1" applyAlignment="1">
      <alignment horizontal="right"/>
    </xf>
    <xf numFmtId="166" fontId="12" fillId="0" borderId="0" xfId="33" applyNumberFormat="1" applyFont="1" applyAlignment="1">
      <alignment horizontal="right"/>
    </xf>
    <xf numFmtId="166" fontId="12" fillId="24" borderId="15" xfId="33" applyNumberFormat="1" applyFont="1" applyFill="1" applyBorder="1"/>
    <xf numFmtId="0" fontId="12" fillId="24" borderId="17" xfId="0" applyFont="1" applyFill="1" applyBorder="1"/>
    <xf numFmtId="166" fontId="12" fillId="24" borderId="17" xfId="33" applyNumberFormat="1" applyFont="1" applyFill="1" applyBorder="1"/>
    <xf numFmtId="166" fontId="13" fillId="24" borderId="14" xfId="0" applyNumberFormat="1" applyFont="1" applyFill="1" applyBorder="1"/>
    <xf numFmtId="166" fontId="12" fillId="0" borderId="0" xfId="0" applyNumberFormat="1" applyFont="1" applyAlignment="1">
      <alignment horizontal="center"/>
    </xf>
    <xf numFmtId="166" fontId="15" fillId="0" borderId="0" xfId="33" applyNumberFormat="1" applyFont="1" applyAlignment="1">
      <alignment horizontal="center"/>
    </xf>
    <xf numFmtId="166" fontId="12" fillId="0" borderId="14" xfId="33" applyNumberFormat="1" applyFont="1" applyBorder="1" applyAlignment="1">
      <alignment horizontal="center"/>
    </xf>
    <xf numFmtId="166" fontId="12" fillId="0" borderId="14" xfId="47" applyNumberFormat="1" applyFont="1" applyBorder="1"/>
    <xf numFmtId="166" fontId="0" fillId="24" borderId="14" xfId="33" applyNumberFormat="1" applyFont="1" applyFill="1" applyBorder="1"/>
    <xf numFmtId="166" fontId="0" fillId="0" borderId="0" xfId="0" applyNumberFormat="1"/>
    <xf numFmtId="4" fontId="16" fillId="0" borderId="0" xfId="0" applyNumberFormat="1" applyFont="1" applyAlignment="1">
      <alignment horizontal="right"/>
    </xf>
    <xf numFmtId="0" fontId="13" fillId="0" borderId="0" xfId="0" applyFont="1"/>
    <xf numFmtId="167" fontId="12" fillId="0" borderId="17" xfId="47" applyNumberFormat="1" applyFont="1" applyBorder="1"/>
    <xf numFmtId="0" fontId="12" fillId="0" borderId="17" xfId="0" applyFont="1" applyBorder="1"/>
    <xf numFmtId="0" fontId="9" fillId="0" borderId="0" xfId="0" applyFont="1"/>
    <xf numFmtId="43" fontId="0" fillId="0" borderId="0" xfId="0" applyNumberFormat="1"/>
    <xf numFmtId="0" fontId="0" fillId="0" borderId="19" xfId="0" applyBorder="1"/>
    <xf numFmtId="0" fontId="0" fillId="0" borderId="20" xfId="0" applyBorder="1"/>
    <xf numFmtId="166" fontId="0" fillId="0" borderId="19" xfId="33" applyNumberFormat="1" applyFont="1" applyBorder="1"/>
    <xf numFmtId="0" fontId="15" fillId="0" borderId="0" xfId="0" applyFont="1" applyAlignment="1">
      <alignment horizontal="left"/>
    </xf>
    <xf numFmtId="0" fontId="9" fillId="0" borderId="10" xfId="0" applyFont="1" applyBorder="1"/>
    <xf numFmtId="166" fontId="12" fillId="0" borderId="12" xfId="0" applyNumberFormat="1" applyFont="1" applyBorder="1"/>
    <xf numFmtId="0" fontId="12" fillId="25" borderId="17" xfId="0" applyFont="1" applyFill="1" applyBorder="1" applyAlignment="1">
      <alignment horizontal="center"/>
    </xf>
    <xf numFmtId="0" fontId="12" fillId="25" borderId="13" xfId="0" applyFont="1" applyFill="1" applyBorder="1"/>
    <xf numFmtId="166" fontId="12" fillId="0" borderId="17" xfId="0" applyNumberFormat="1" applyFont="1" applyBorder="1"/>
    <xf numFmtId="0" fontId="0" fillId="0" borderId="12" xfId="0" applyBorder="1"/>
    <xf numFmtId="166" fontId="12" fillId="0" borderId="16" xfId="0" applyNumberFormat="1" applyFont="1" applyBorder="1"/>
    <xf numFmtId="0" fontId="9" fillId="0" borderId="11" xfId="0" applyFont="1" applyBorder="1"/>
    <xf numFmtId="166" fontId="9" fillId="0" borderId="0" xfId="33" applyNumberFormat="1" applyAlignment="1">
      <alignment horizontal="right"/>
    </xf>
    <xf numFmtId="166" fontId="13" fillId="0" borderId="0" xfId="33" applyNumberFormat="1" applyFont="1"/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0" fontId="50" fillId="0" borderId="0" xfId="0" applyFont="1"/>
    <xf numFmtId="0" fontId="9" fillId="0" borderId="17" xfId="49" applyBorder="1"/>
    <xf numFmtId="166" fontId="9" fillId="0" borderId="17" xfId="33" applyNumberFormat="1" applyBorder="1"/>
    <xf numFmtId="0" fontId="9" fillId="26" borderId="17" xfId="0" applyFont="1" applyFill="1" applyBorder="1"/>
    <xf numFmtId="0" fontId="11" fillId="26" borderId="13" xfId="0" applyFont="1" applyFill="1" applyBorder="1" applyAlignment="1">
      <alignment horizontal="left"/>
    </xf>
    <xf numFmtId="0" fontId="11" fillId="26" borderId="15" xfId="0" applyFont="1" applyFill="1" applyBorder="1"/>
    <xf numFmtId="166" fontId="11" fillId="26" borderId="17" xfId="33" applyNumberFormat="1" applyFont="1" applyFill="1" applyBorder="1"/>
    <xf numFmtId="166" fontId="12" fillId="26" borderId="25" xfId="33" applyNumberFormat="1" applyFont="1" applyFill="1" applyBorder="1"/>
    <xf numFmtId="0" fontId="12" fillId="0" borderId="13" xfId="0" applyFont="1" applyBorder="1" applyAlignment="1">
      <alignment horizontal="left"/>
    </xf>
    <xf numFmtId="166" fontId="12" fillId="0" borderId="15" xfId="33" applyNumberFormat="1" applyFont="1" applyBorder="1"/>
    <xf numFmtId="0" fontId="13" fillId="26" borderId="26" xfId="0" applyFont="1" applyFill="1" applyBorder="1"/>
    <xf numFmtId="166" fontId="13" fillId="26" borderId="27" xfId="33" applyNumberFormat="1" applyFont="1" applyFill="1" applyBorder="1"/>
    <xf numFmtId="0" fontId="36" fillId="0" borderId="0" xfId="0" applyFont="1"/>
    <xf numFmtId="0" fontId="53" fillId="0" borderId="0" xfId="0" applyFont="1"/>
    <xf numFmtId="166" fontId="52" fillId="0" borderId="0" xfId="33" applyNumberFormat="1" applyFont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9" fillId="26" borderId="17" xfId="0" applyFont="1" applyFill="1" applyBorder="1" applyAlignment="1">
      <alignment horizontal="center"/>
    </xf>
    <xf numFmtId="0" fontId="12" fillId="26" borderId="17" xfId="0" applyFont="1" applyFill="1" applyBorder="1" applyAlignment="1">
      <alignment horizontal="left"/>
    </xf>
    <xf numFmtId="0" fontId="50" fillId="26" borderId="17" xfId="0" applyFont="1" applyFill="1" applyBorder="1"/>
    <xf numFmtId="0" fontId="12" fillId="26" borderId="17" xfId="0" applyFont="1" applyFill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6" borderId="17" xfId="0" applyFont="1" applyFill="1" applyBorder="1" applyAlignment="1">
      <alignment horizontal="center"/>
    </xf>
    <xf numFmtId="166" fontId="12" fillId="26" borderId="17" xfId="0" applyNumberFormat="1" applyFont="1" applyFill="1" applyBorder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166" fontId="12" fillId="26" borderId="17" xfId="33" applyNumberFormat="1" applyFont="1" applyFill="1" applyBorder="1"/>
    <xf numFmtId="167" fontId="12" fillId="0" borderId="0" xfId="47" applyNumberFormat="1" applyFont="1"/>
    <xf numFmtId="166" fontId="53" fillId="0" borderId="0" xfId="33" applyNumberFormat="1" applyFont="1"/>
    <xf numFmtId="166" fontId="16" fillId="0" borderId="0" xfId="33" applyNumberFormat="1" applyFont="1"/>
    <xf numFmtId="166" fontId="9" fillId="0" borderId="0" xfId="0" applyNumberFormat="1" applyFont="1"/>
    <xf numFmtId="165" fontId="9" fillId="0" borderId="0" xfId="33"/>
    <xf numFmtId="0" fontId="0" fillId="0" borderId="17" xfId="0" applyBorder="1"/>
    <xf numFmtId="43" fontId="9" fillId="0" borderId="0" xfId="0" applyNumberFormat="1" applyFont="1"/>
    <xf numFmtId="0" fontId="9" fillId="0" borderId="0" xfId="0" applyFont="1" applyAlignment="1">
      <alignment horizontal="right"/>
    </xf>
    <xf numFmtId="166" fontId="0" fillId="0" borderId="11" xfId="33" applyNumberFormat="1" applyFont="1" applyBorder="1"/>
    <xf numFmtId="166" fontId="57" fillId="0" borderId="0" xfId="33" applyNumberFormat="1" applyFont="1"/>
    <xf numFmtId="166" fontId="8" fillId="26" borderId="17" xfId="33" applyNumberFormat="1" applyFont="1" applyFill="1" applyBorder="1"/>
    <xf numFmtId="0" fontId="8" fillId="25" borderId="17" xfId="0" applyFont="1" applyFill="1" applyBorder="1" applyAlignment="1">
      <alignment horizontal="center"/>
    </xf>
    <xf numFmtId="0" fontId="8" fillId="24" borderId="17" xfId="0" applyFont="1" applyFill="1" applyBorder="1"/>
    <xf numFmtId="0" fontId="8" fillId="0" borderId="13" xfId="0" applyFont="1" applyBorder="1"/>
    <xf numFmtId="0" fontId="8" fillId="0" borderId="0" xfId="0" applyFont="1"/>
    <xf numFmtId="0" fontId="8" fillId="26" borderId="13" xfId="49" applyFont="1" applyFill="1" applyBorder="1"/>
    <xf numFmtId="0" fontId="8" fillId="26" borderId="14" xfId="49" applyFont="1" applyFill="1" applyBorder="1"/>
    <xf numFmtId="166" fontId="8" fillId="26" borderId="17" xfId="33" applyNumberFormat="1" applyFont="1" applyFill="1" applyBorder="1" applyAlignment="1">
      <alignment horizontal="center"/>
    </xf>
    <xf numFmtId="0" fontId="8" fillId="0" borderId="17" xfId="0" applyFont="1" applyBorder="1"/>
    <xf numFmtId="166" fontId="8" fillId="0" borderId="17" xfId="33" applyNumberFormat="1" applyFont="1" applyBorder="1"/>
    <xf numFmtId="0" fontId="8" fillId="0" borderId="0" xfId="0" applyFont="1" applyAlignment="1">
      <alignment horizontal="center"/>
    </xf>
    <xf numFmtId="166" fontId="8" fillId="0" borderId="0" xfId="33" applyNumberFormat="1" applyFont="1" applyAlignment="1">
      <alignment horizontal="right"/>
    </xf>
    <xf numFmtId="0" fontId="0" fillId="0" borderId="0" xfId="0" applyAlignment="1">
      <alignment horizontal="center"/>
    </xf>
    <xf numFmtId="165" fontId="8" fillId="0" borderId="0" xfId="33" applyFont="1"/>
    <xf numFmtId="0" fontId="9" fillId="0" borderId="0" xfId="0" applyFont="1" applyAlignment="1">
      <alignment horizontal="left"/>
    </xf>
    <xf numFmtId="165" fontId="9" fillId="0" borderId="0" xfId="33" applyAlignment="1">
      <alignment horizontal="center"/>
    </xf>
    <xf numFmtId="3" fontId="8" fillId="0" borderId="0" xfId="0" applyNumberFormat="1" applyFont="1"/>
    <xf numFmtId="165" fontId="0" fillId="0" borderId="0" xfId="0" applyNumberFormat="1"/>
    <xf numFmtId="0" fontId="8" fillId="26" borderId="17" xfId="0" applyFont="1" applyFill="1" applyBorder="1"/>
    <xf numFmtId="166" fontId="8" fillId="26" borderId="17" xfId="0" applyNumberFormat="1" applyFont="1" applyFill="1" applyBorder="1"/>
    <xf numFmtId="167" fontId="0" fillId="0" borderId="17" xfId="47" applyNumberFormat="1" applyFont="1" applyBorder="1" applyAlignment="1">
      <alignment vertical="center"/>
    </xf>
    <xf numFmtId="10" fontId="0" fillId="0" borderId="17" xfId="70" applyNumberFormat="1" applyFont="1" applyBorder="1" applyAlignment="1">
      <alignment horizontal="center" vertical="center"/>
    </xf>
    <xf numFmtId="0" fontId="71" fillId="28" borderId="0" xfId="82" applyFont="1" applyFill="1" applyProtection="1">
      <protection locked="0"/>
    </xf>
    <xf numFmtId="0" fontId="71" fillId="28" borderId="0" xfId="82" applyFont="1" applyFill="1" applyAlignment="1" applyProtection="1">
      <alignment vertical="top"/>
      <protection locked="0"/>
    </xf>
    <xf numFmtId="0" fontId="72" fillId="28" borderId="0" xfId="82" applyFont="1" applyFill="1" applyAlignment="1" applyProtection="1">
      <alignment horizontal="right" vertical="top"/>
      <protection locked="0"/>
    </xf>
    <xf numFmtId="0" fontId="71" fillId="28" borderId="0" xfId="82" applyFont="1" applyFill="1" applyAlignment="1">
      <alignment vertical="top"/>
    </xf>
    <xf numFmtId="0" fontId="71" fillId="28" borderId="0" xfId="82" applyFont="1" applyFill="1"/>
    <xf numFmtId="0" fontId="72" fillId="28" borderId="0" xfId="82" applyFont="1" applyFill="1" applyAlignment="1">
      <alignment horizontal="right" vertical="top"/>
    </xf>
    <xf numFmtId="0" fontId="11" fillId="28" borderId="0" xfId="82" applyFont="1" applyFill="1"/>
    <xf numFmtId="0" fontId="11" fillId="28" borderId="0" xfId="84" applyNumberFormat="1" applyFont="1" applyFill="1" applyAlignment="1">
      <alignment vertical="center"/>
    </xf>
    <xf numFmtId="0" fontId="11" fillId="28" borderId="0" xfId="84" applyNumberFormat="1" applyFont="1" applyFill="1" applyAlignment="1">
      <alignment horizontal="centerContinuous" vertical="center"/>
    </xf>
    <xf numFmtId="0" fontId="11" fillId="28" borderId="0" xfId="82" applyFont="1" applyFill="1" applyAlignment="1">
      <alignment horizontal="right"/>
    </xf>
    <xf numFmtId="0" fontId="64" fillId="28" borderId="0" xfId="84" applyNumberFormat="1" applyFont="1" applyFill="1" applyAlignment="1">
      <alignment horizontal="right" vertical="top"/>
    </xf>
    <xf numFmtId="0" fontId="73" fillId="28" borderId="0" xfId="82" applyFont="1" applyFill="1" applyAlignment="1">
      <alignment vertical="top"/>
    </xf>
    <xf numFmtId="0" fontId="73" fillId="28" borderId="0" xfId="82" applyFont="1" applyFill="1"/>
    <xf numFmtId="0" fontId="11" fillId="28" borderId="10" xfId="84" applyNumberFormat="1" applyFont="1" applyFill="1" applyBorder="1" applyAlignment="1">
      <alignment vertical="center"/>
    </xf>
    <xf numFmtId="0" fontId="71" fillId="28" borderId="11" xfId="82" applyFont="1" applyFill="1" applyBorder="1"/>
    <xf numFmtId="0" fontId="71" fillId="28" borderId="10" xfId="82" applyFont="1" applyFill="1" applyBorder="1" applyAlignment="1">
      <alignment vertical="top"/>
    </xf>
    <xf numFmtId="173" fontId="10" fillId="28" borderId="0" xfId="83" applyNumberFormat="1" applyFont="1" applyFill="1" applyAlignment="1">
      <alignment vertical="top"/>
    </xf>
    <xf numFmtId="0" fontId="10" fillId="28" borderId="0" xfId="82" applyFont="1" applyFill="1" applyAlignment="1">
      <alignment vertical="top"/>
    </xf>
    <xf numFmtId="0" fontId="11" fillId="28" borderId="0" xfId="82" applyFont="1" applyFill="1" applyAlignment="1">
      <alignment vertical="top"/>
    </xf>
    <xf numFmtId="0" fontId="11" fillId="28" borderId="0" xfId="82" applyFont="1" applyFill="1" applyAlignment="1">
      <alignment vertical="top" wrapText="1"/>
    </xf>
    <xf numFmtId="3" fontId="10" fillId="28" borderId="0" xfId="82" applyNumberFormat="1" applyFont="1" applyFill="1" applyAlignment="1">
      <alignment vertical="top"/>
    </xf>
    <xf numFmtId="3" fontId="11" fillId="28" borderId="0" xfId="82" applyNumberFormat="1" applyFont="1" applyFill="1" applyAlignment="1">
      <alignment vertical="top"/>
    </xf>
    <xf numFmtId="0" fontId="75" fillId="28" borderId="0" xfId="82" applyFont="1" applyFill="1" applyAlignment="1">
      <alignment vertical="top" wrapText="1"/>
    </xf>
    <xf numFmtId="0" fontId="75" fillId="28" borderId="0" xfId="82" applyFont="1" applyFill="1" applyAlignment="1">
      <alignment vertical="top"/>
    </xf>
    <xf numFmtId="3" fontId="10" fillId="28" borderId="0" xfId="82" applyNumberFormat="1" applyFont="1" applyFill="1" applyAlignment="1" applyProtection="1">
      <alignment vertical="top"/>
      <protection locked="0"/>
    </xf>
    <xf numFmtId="0" fontId="10" fillId="28" borderId="0" xfId="82" applyFont="1" applyFill="1" applyAlignment="1">
      <alignment vertical="top" wrapText="1"/>
    </xf>
    <xf numFmtId="0" fontId="10" fillId="28" borderId="0" xfId="82" applyFont="1" applyFill="1" applyAlignment="1">
      <alignment horizontal="left" vertical="top" wrapText="1"/>
    </xf>
    <xf numFmtId="3" fontId="10" fillId="28" borderId="0" xfId="83" applyNumberFormat="1" applyFont="1" applyFill="1" applyAlignment="1">
      <alignment vertical="top"/>
    </xf>
    <xf numFmtId="0" fontId="76" fillId="28" borderId="10" xfId="82" applyFont="1" applyFill="1" applyBorder="1" applyAlignment="1">
      <alignment vertical="top"/>
    </xf>
    <xf numFmtId="0" fontId="77" fillId="28" borderId="0" xfId="82" applyFont="1" applyFill="1" applyAlignment="1">
      <alignment horizontal="right" vertical="top"/>
    </xf>
    <xf numFmtId="3" fontId="11" fillId="28" borderId="0" xfId="83" applyNumberFormat="1" applyFont="1" applyFill="1" applyAlignment="1">
      <alignment vertical="top"/>
    </xf>
    <xf numFmtId="0" fontId="11" fillId="28" borderId="0" xfId="82" applyFont="1" applyFill="1" applyAlignment="1">
      <alignment horizontal="left" vertical="top" wrapText="1"/>
    </xf>
    <xf numFmtId="0" fontId="71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/>
    </xf>
    <xf numFmtId="3" fontId="79" fillId="28" borderId="0" xfId="83" applyNumberFormat="1" applyFont="1" applyFill="1" applyAlignment="1">
      <alignment vertical="top"/>
    </xf>
    <xf numFmtId="0" fontId="10" fillId="28" borderId="0" xfId="82" applyFont="1" applyFill="1" applyAlignment="1">
      <alignment horizontal="left" vertical="top"/>
    </xf>
    <xf numFmtId="0" fontId="71" fillId="28" borderId="20" xfId="82" applyFont="1" applyFill="1" applyBorder="1" applyAlignment="1">
      <alignment vertical="top"/>
    </xf>
    <xf numFmtId="0" fontId="71" fillId="28" borderId="19" xfId="82" applyFont="1" applyFill="1" applyBorder="1" applyAlignment="1">
      <alignment vertical="top"/>
    </xf>
    <xf numFmtId="0" fontId="72" fillId="28" borderId="19" xfId="82" applyFont="1" applyFill="1" applyBorder="1" applyAlignment="1">
      <alignment horizontal="right" vertical="top"/>
    </xf>
    <xf numFmtId="0" fontId="71" fillId="28" borderId="21" xfId="82" applyFont="1" applyFill="1" applyBorder="1"/>
    <xf numFmtId="0" fontId="10" fillId="28" borderId="0" xfId="82" applyFont="1" applyFill="1"/>
    <xf numFmtId="43" fontId="10" fillId="28" borderId="0" xfId="83" applyFont="1" applyFill="1"/>
    <xf numFmtId="0" fontId="10" fillId="28" borderId="0" xfId="82" applyFont="1" applyFill="1" applyAlignment="1">
      <alignment vertical="center"/>
    </xf>
    <xf numFmtId="0" fontId="71" fillId="28" borderId="19" xfId="82" applyFont="1" applyFill="1" applyBorder="1"/>
    <xf numFmtId="0" fontId="10" fillId="28" borderId="19" xfId="82" applyFont="1" applyFill="1" applyBorder="1" applyAlignment="1">
      <alignment vertical="top"/>
    </xf>
    <xf numFmtId="0" fontId="10" fillId="28" borderId="19" xfId="82" applyFont="1" applyFill="1" applyBorder="1"/>
    <xf numFmtId="43" fontId="10" fillId="28" borderId="19" xfId="83" applyFont="1" applyFill="1" applyBorder="1"/>
    <xf numFmtId="0" fontId="10" fillId="28" borderId="19" xfId="82" applyFont="1" applyFill="1" applyBorder="1" applyAlignment="1">
      <alignment vertical="center"/>
    </xf>
    <xf numFmtId="0" fontId="11" fillId="28" borderId="0" xfId="82" applyFont="1" applyFill="1" applyAlignment="1">
      <alignment horizontal="right" vertical="top"/>
    </xf>
    <xf numFmtId="43" fontId="65" fillId="28" borderId="0" xfId="83" applyFont="1" applyFill="1" applyAlignment="1">
      <alignment horizontal="right" vertical="top"/>
    </xf>
    <xf numFmtId="0" fontId="10" fillId="28" borderId="0" xfId="82" applyFont="1" applyFill="1" applyAlignment="1">
      <alignment horizontal="right"/>
    </xf>
    <xf numFmtId="43" fontId="10" fillId="28" borderId="0" xfId="83" applyFont="1" applyFill="1" applyAlignment="1">
      <alignment vertical="top"/>
    </xf>
    <xf numFmtId="0" fontId="71" fillId="28" borderId="0" xfId="82" applyFont="1" applyFill="1" applyAlignment="1" applyProtection="1">
      <alignment horizontal="right"/>
      <protection locked="0"/>
    </xf>
    <xf numFmtId="0" fontId="71" fillId="28" borderId="0" xfId="82" applyFont="1" applyFill="1" applyAlignment="1" applyProtection="1">
      <alignment wrapText="1"/>
      <protection locked="0"/>
    </xf>
    <xf numFmtId="0" fontId="71" fillId="28" borderId="0" xfId="82" applyFont="1" applyFill="1" applyAlignment="1">
      <alignment wrapText="1"/>
    </xf>
    <xf numFmtId="0" fontId="11" fillId="28" borderId="0" xfId="49" applyFont="1" applyFill="1"/>
    <xf numFmtId="0" fontId="76" fillId="28" borderId="0" xfId="82" applyFont="1" applyFill="1"/>
    <xf numFmtId="0" fontId="11" fillId="28" borderId="0" xfId="49" applyFont="1" applyFill="1" applyAlignment="1">
      <alignment horizontal="center"/>
    </xf>
    <xf numFmtId="0" fontId="11" fillId="28" borderId="0" xfId="49" applyFont="1" applyFill="1" applyAlignment="1">
      <alignment horizontal="centerContinuous"/>
    </xf>
    <xf numFmtId="0" fontId="76" fillId="28" borderId="0" xfId="82" applyFont="1" applyFill="1" applyAlignment="1">
      <alignment horizontal="center"/>
    </xf>
    <xf numFmtId="0" fontId="10" fillId="28" borderId="0" xfId="49" applyFont="1" applyFill="1" applyAlignment="1">
      <alignment horizontal="center" vertical="center"/>
    </xf>
    <xf numFmtId="0" fontId="10" fillId="28" borderId="0" xfId="49" applyFont="1" applyFill="1" applyAlignment="1">
      <alignment horizontal="center"/>
    </xf>
    <xf numFmtId="0" fontId="71" fillId="28" borderId="0" xfId="82" applyFont="1" applyFill="1" applyAlignment="1">
      <alignment horizontal="center"/>
    </xf>
    <xf numFmtId="0" fontId="71" fillId="28" borderId="10" xfId="82" applyFont="1" applyFill="1" applyBorder="1"/>
    <xf numFmtId="0" fontId="11" fillId="28" borderId="0" xfId="49" applyFont="1" applyFill="1" applyAlignment="1">
      <alignment vertical="center"/>
    </xf>
    <xf numFmtId="0" fontId="10" fillId="28" borderId="0" xfId="49" applyFont="1" applyFill="1"/>
    <xf numFmtId="0" fontId="11" fillId="28" borderId="0" xfId="49" applyFont="1" applyFill="1" applyAlignment="1">
      <alignment vertical="top"/>
    </xf>
    <xf numFmtId="0" fontId="81" fillId="28" borderId="0" xfId="49" applyFont="1" applyFill="1" applyAlignment="1">
      <alignment horizontal="center"/>
    </xf>
    <xf numFmtId="0" fontId="10" fillId="28" borderId="10" xfId="82" applyFont="1" applyFill="1" applyBorder="1" applyAlignment="1">
      <alignment horizontal="left" vertical="top"/>
    </xf>
    <xf numFmtId="3" fontId="11" fillId="28" borderId="0" xfId="82" applyNumberFormat="1" applyFont="1" applyFill="1" applyAlignment="1">
      <alignment horizontal="right" vertical="top"/>
    </xf>
    <xf numFmtId="0" fontId="11" fillId="28" borderId="10" xfId="82" applyFont="1" applyFill="1" applyBorder="1" applyAlignment="1">
      <alignment horizontal="left" vertical="top"/>
    </xf>
    <xf numFmtId="3" fontId="10" fillId="28" borderId="0" xfId="82" applyNumberFormat="1" applyFont="1" applyFill="1" applyAlignment="1">
      <alignment horizontal="right" vertical="top"/>
    </xf>
    <xf numFmtId="3" fontId="10" fillId="28" borderId="0" xfId="83" applyNumberFormat="1" applyFont="1" applyFill="1" applyAlignment="1">
      <alignment horizontal="right" vertical="top" wrapText="1"/>
    </xf>
    <xf numFmtId="0" fontId="10" fillId="28" borderId="20" xfId="82" applyFont="1" applyFill="1" applyBorder="1" applyAlignment="1">
      <alignment horizontal="left" vertical="top"/>
    </xf>
    <xf numFmtId="3" fontId="10" fillId="28" borderId="19" xfId="83" applyNumberFormat="1" applyFont="1" applyFill="1" applyBorder="1" applyAlignment="1">
      <alignment horizontal="right" vertical="top" wrapText="1"/>
    </xf>
    <xf numFmtId="0" fontId="71" fillId="28" borderId="14" xfId="82" applyFont="1" applyFill="1" applyBorder="1"/>
    <xf numFmtId="0" fontId="10" fillId="28" borderId="19" xfId="82" applyFont="1" applyFill="1" applyBorder="1" applyAlignment="1">
      <alignment vertical="center" wrapText="1"/>
    </xf>
    <xf numFmtId="0" fontId="10" fillId="28" borderId="0" xfId="82" applyFont="1" applyFill="1" applyAlignment="1">
      <alignment vertical="center" wrapText="1"/>
    </xf>
    <xf numFmtId="0" fontId="10" fillId="28" borderId="0" xfId="82" applyFont="1" applyFill="1" applyAlignment="1">
      <alignment wrapText="1"/>
    </xf>
    <xf numFmtId="0" fontId="10" fillId="28" borderId="0" xfId="82" applyFont="1" applyFill="1" applyProtection="1">
      <protection locked="0"/>
    </xf>
    <xf numFmtId="43" fontId="10" fillId="28" borderId="0" xfId="83" applyFont="1" applyFill="1" applyProtection="1">
      <protection locked="0"/>
    </xf>
    <xf numFmtId="0" fontId="10" fillId="28" borderId="0" xfId="82" applyFont="1" applyFill="1" applyAlignment="1" applyProtection="1">
      <alignment vertical="center"/>
      <protection locked="0"/>
    </xf>
    <xf numFmtId="0" fontId="10" fillId="28" borderId="0" xfId="82" applyFont="1" applyFill="1" applyAlignment="1" applyProtection="1">
      <alignment wrapText="1"/>
      <protection locked="0"/>
    </xf>
    <xf numFmtId="0" fontId="71" fillId="28" borderId="0" xfId="82" applyFont="1" applyFill="1" applyAlignment="1">
      <alignment horizontal="right"/>
    </xf>
    <xf numFmtId="0" fontId="51" fillId="28" borderId="0" xfId="82" applyFont="1" applyFill="1"/>
    <xf numFmtId="3" fontId="76" fillId="28" borderId="0" xfId="82" applyNumberFormat="1" applyFont="1" applyFill="1" applyAlignment="1">
      <alignment vertical="top"/>
    </xf>
    <xf numFmtId="0" fontId="76" fillId="28" borderId="11" xfId="82" applyFont="1" applyFill="1" applyBorder="1" applyAlignment="1">
      <alignment vertical="top"/>
    </xf>
    <xf numFmtId="0" fontId="76" fillId="28" borderId="0" xfId="82" applyFont="1" applyFill="1" applyAlignment="1">
      <alignment vertical="top"/>
    </xf>
    <xf numFmtId="0" fontId="82" fillId="28" borderId="10" xfId="82" applyFont="1" applyFill="1" applyBorder="1" applyAlignment="1">
      <alignment vertical="top"/>
    </xf>
    <xf numFmtId="3" fontId="76" fillId="28" borderId="0" xfId="83" applyNumberFormat="1" applyFont="1" applyFill="1" applyAlignment="1">
      <alignment vertical="top"/>
    </xf>
    <xf numFmtId="0" fontId="82" fillId="28" borderId="11" xfId="82" applyFont="1" applyFill="1" applyBorder="1" applyAlignment="1">
      <alignment vertical="top"/>
    </xf>
    <xf numFmtId="0" fontId="83" fillId="28" borderId="0" xfId="82" applyFont="1" applyFill="1"/>
    <xf numFmtId="3" fontId="71" fillId="28" borderId="0" xfId="82" applyNumberFormat="1" applyFont="1" applyFill="1" applyAlignment="1">
      <alignment vertical="top"/>
    </xf>
    <xf numFmtId="0" fontId="71" fillId="28" borderId="11" xfId="82" applyFont="1" applyFill="1" applyBorder="1" applyAlignment="1">
      <alignment vertical="top"/>
    </xf>
    <xf numFmtId="3" fontId="10" fillId="28" borderId="0" xfId="83" applyNumberFormat="1" applyFont="1" applyFill="1" applyAlignment="1" applyProtection="1">
      <alignment vertical="top"/>
      <protection locked="0"/>
    </xf>
    <xf numFmtId="0" fontId="71" fillId="28" borderId="0" xfId="82" applyFont="1" applyFill="1" applyAlignment="1">
      <alignment horizontal="left" vertical="top"/>
    </xf>
    <xf numFmtId="3" fontId="71" fillId="28" borderId="0" xfId="83" applyNumberFormat="1" applyFont="1" applyFill="1" applyAlignment="1">
      <alignment vertical="top"/>
    </xf>
    <xf numFmtId="0" fontId="71" fillId="28" borderId="0" xfId="82" applyFont="1" applyFill="1" applyAlignment="1">
      <alignment horizontal="left"/>
    </xf>
    <xf numFmtId="0" fontId="71" fillId="28" borderId="0" xfId="82" applyFont="1" applyFill="1" applyAlignment="1">
      <alignment vertical="center"/>
    </xf>
    <xf numFmtId="0" fontId="11" fillId="28" borderId="0" xfId="82" applyFont="1" applyFill="1" applyAlignment="1">
      <alignment horizontal="centerContinuous"/>
    </xf>
    <xf numFmtId="172" fontId="10" fillId="28" borderId="0" xfId="84" applyFont="1" applyFill="1"/>
    <xf numFmtId="0" fontId="11" fillId="28" borderId="10" xfId="84" applyNumberFormat="1" applyFont="1" applyFill="1" applyBorder="1" applyAlignment="1">
      <alignment horizontal="centerContinuous" vertical="center"/>
    </xf>
    <xf numFmtId="0" fontId="11" fillId="28" borderId="0" xfId="84" applyNumberFormat="1" applyFont="1" applyFill="1" applyAlignment="1">
      <alignment vertical="top"/>
    </xf>
    <xf numFmtId="0" fontId="11" fillId="28" borderId="11" xfId="84" applyNumberFormat="1" applyFont="1" applyFill="1" applyBorder="1" applyAlignment="1">
      <alignment vertical="top"/>
    </xf>
    <xf numFmtId="0" fontId="76" fillId="28" borderId="10" xfId="82" applyFont="1" applyFill="1" applyBorder="1"/>
    <xf numFmtId="0" fontId="11" fillId="28" borderId="11" xfId="82" applyFont="1" applyFill="1" applyBorder="1" applyAlignment="1">
      <alignment vertical="top"/>
    </xf>
    <xf numFmtId="3" fontId="11" fillId="28" borderId="0" xfId="82" applyNumberFormat="1" applyFont="1" applyFill="1" applyAlignment="1" applyProtection="1">
      <alignment horizontal="center" vertical="top"/>
      <protection locked="0"/>
    </xf>
    <xf numFmtId="0" fontId="81" fillId="28" borderId="0" xfId="82" applyFont="1" applyFill="1" applyAlignment="1">
      <alignment vertical="top"/>
    </xf>
    <xf numFmtId="3" fontId="10" fillId="28" borderId="0" xfId="82" applyNumberFormat="1" applyFont="1" applyFill="1" applyAlignment="1" applyProtection="1">
      <alignment horizontal="center" vertical="top"/>
      <protection locked="0"/>
    </xf>
    <xf numFmtId="3" fontId="10" fillId="28" borderId="0" xfId="82" applyNumberFormat="1" applyFont="1" applyFill="1" applyAlignment="1" applyProtection="1">
      <alignment horizontal="right" vertical="top"/>
      <protection locked="0"/>
    </xf>
    <xf numFmtId="0" fontId="11" fillId="28" borderId="0" xfId="82" applyFont="1" applyFill="1" applyAlignment="1" applyProtection="1">
      <alignment horizontal="center" vertical="top"/>
      <protection locked="0"/>
    </xf>
    <xf numFmtId="0" fontId="11" fillId="28" borderId="0" xfId="82" applyFont="1" applyFill="1" applyAlignment="1" applyProtection="1">
      <alignment horizontal="right" vertical="top"/>
      <protection locked="0"/>
    </xf>
    <xf numFmtId="0" fontId="10" fillId="28" borderId="0" xfId="82" applyFont="1" applyFill="1" applyAlignment="1" applyProtection="1">
      <alignment horizontal="right" vertical="top"/>
      <protection locked="0"/>
    </xf>
    <xf numFmtId="0" fontId="11" fillId="28" borderId="0" xfId="82" applyFont="1" applyFill="1" applyAlignment="1">
      <alignment horizontal="center" vertical="top"/>
    </xf>
    <xf numFmtId="0" fontId="82" fillId="28" borderId="10" xfId="82" applyFont="1" applyFill="1" applyBorder="1"/>
    <xf numFmtId="3" fontId="75" fillId="28" borderId="0" xfId="82" applyNumberFormat="1" applyFont="1" applyFill="1" applyAlignment="1" applyProtection="1">
      <alignment horizontal="center" vertical="top"/>
      <protection locked="0"/>
    </xf>
    <xf numFmtId="3" fontId="75" fillId="28" borderId="0" xfId="82" applyNumberFormat="1" applyFont="1" applyFill="1" applyAlignment="1">
      <alignment horizontal="right" vertical="top"/>
    </xf>
    <xf numFmtId="0" fontId="71" fillId="28" borderId="0" xfId="82" applyFont="1" applyFill="1" applyAlignment="1" applyProtection="1">
      <alignment horizontal="center" vertical="top"/>
      <protection locked="0"/>
    </xf>
    <xf numFmtId="3" fontId="75" fillId="28" borderId="0" xfId="82" applyNumberFormat="1" applyFont="1" applyFill="1" applyAlignment="1">
      <alignment horizontal="center" vertical="top"/>
    </xf>
    <xf numFmtId="3" fontId="11" fillId="28" borderId="0" xfId="82" applyNumberFormat="1" applyFont="1" applyFill="1" applyAlignment="1" applyProtection="1">
      <alignment horizontal="right" vertical="top"/>
      <protection locked="0"/>
    </xf>
    <xf numFmtId="0" fontId="82" fillId="28" borderId="20" xfId="82" applyFont="1" applyFill="1" applyBorder="1"/>
    <xf numFmtId="0" fontId="75" fillId="28" borderId="19" xfId="82" applyFont="1" applyFill="1" applyBorder="1" applyAlignment="1">
      <alignment vertical="top"/>
    </xf>
    <xf numFmtId="3" fontId="75" fillId="28" borderId="19" xfId="82" applyNumberFormat="1" applyFont="1" applyFill="1" applyBorder="1" applyAlignment="1">
      <alignment horizontal="center" vertical="top"/>
    </xf>
    <xf numFmtId="3" fontId="75" fillId="28" borderId="19" xfId="82" applyNumberFormat="1" applyFont="1" applyFill="1" applyBorder="1" applyAlignment="1">
      <alignment horizontal="right" vertical="top"/>
    </xf>
    <xf numFmtId="0" fontId="82" fillId="28" borderId="21" xfId="82" applyFont="1" applyFill="1" applyBorder="1" applyAlignment="1">
      <alignment vertical="top"/>
    </xf>
    <xf numFmtId="3" fontId="11" fillId="28" borderId="0" xfId="82" applyNumberFormat="1" applyFont="1" applyFill="1" applyAlignment="1">
      <alignment horizontal="center" vertical="center"/>
    </xf>
    <xf numFmtId="3" fontId="11" fillId="28" borderId="0" xfId="82" applyNumberFormat="1" applyFont="1" applyFill="1" applyAlignment="1">
      <alignment vertical="center"/>
    </xf>
    <xf numFmtId="0" fontId="84" fillId="28" borderId="0" xfId="82" applyFont="1" applyFill="1" applyAlignment="1">
      <alignment horizontal="right"/>
    </xf>
    <xf numFmtId="0" fontId="11" fillId="28" borderId="11" xfId="84" applyNumberFormat="1" applyFont="1" applyFill="1" applyBorder="1" applyAlignment="1">
      <alignment horizontal="centerContinuous" vertical="center"/>
    </xf>
    <xf numFmtId="0" fontId="85" fillId="28" borderId="0" xfId="82" applyFont="1" applyFill="1" applyAlignment="1">
      <alignment horizontal="left" vertical="top"/>
    </xf>
    <xf numFmtId="0" fontId="11" fillId="28" borderId="11" xfId="82" applyFont="1" applyFill="1" applyBorder="1" applyAlignment="1">
      <alignment vertical="top" wrapText="1"/>
    </xf>
    <xf numFmtId="3" fontId="76" fillId="28" borderId="0" xfId="82" applyNumberFormat="1" applyFont="1" applyFill="1" applyAlignment="1" applyProtection="1">
      <alignment horizontal="right" vertical="top"/>
      <protection locked="0"/>
    </xf>
    <xf numFmtId="0" fontId="76" fillId="28" borderId="0" xfId="82" applyFont="1" applyFill="1" applyAlignment="1">
      <alignment horizontal="left" vertical="top" wrapText="1"/>
    </xf>
    <xf numFmtId="3" fontId="71" fillId="28" borderId="0" xfId="82" applyNumberFormat="1" applyFont="1" applyFill="1" applyAlignment="1">
      <alignment horizontal="right" vertical="top"/>
    </xf>
    <xf numFmtId="3" fontId="76" fillId="28" borderId="0" xfId="82" applyNumberFormat="1" applyFont="1" applyFill="1" applyAlignment="1">
      <alignment horizontal="right" vertical="top"/>
    </xf>
    <xf numFmtId="3" fontId="71" fillId="28" borderId="0" xfId="82" applyNumberFormat="1" applyFont="1" applyFill="1" applyAlignment="1" applyProtection="1">
      <alignment horizontal="right" vertical="top"/>
      <protection locked="0"/>
    </xf>
    <xf numFmtId="3" fontId="76" fillId="28" borderId="37" xfId="82" applyNumberFormat="1" applyFont="1" applyFill="1" applyBorder="1" applyAlignment="1">
      <alignment horizontal="right" vertical="top"/>
    </xf>
    <xf numFmtId="0" fontId="86" fillId="28" borderId="0" xfId="82" applyFont="1" applyFill="1" applyAlignment="1">
      <alignment horizontal="center"/>
    </xf>
    <xf numFmtId="0" fontId="76" fillId="28" borderId="20" xfId="82" applyFont="1" applyFill="1" applyBorder="1" applyAlignment="1">
      <alignment vertical="top"/>
    </xf>
    <xf numFmtId="3" fontId="76" fillId="28" borderId="19" xfId="82" applyNumberFormat="1" applyFont="1" applyFill="1" applyBorder="1" applyAlignment="1">
      <alignment horizontal="right" vertical="top"/>
    </xf>
    <xf numFmtId="0" fontId="11" fillId="28" borderId="21" xfId="82" applyFont="1" applyFill="1" applyBorder="1" applyAlignment="1">
      <alignment vertical="top" wrapText="1"/>
    </xf>
    <xf numFmtId="0" fontId="71" fillId="28" borderId="14" xfId="82" applyFont="1" applyFill="1" applyBorder="1" applyAlignment="1">
      <alignment vertical="top"/>
    </xf>
    <xf numFmtId="0" fontId="11" fillId="28" borderId="14" xfId="82" applyFont="1" applyFill="1" applyBorder="1" applyAlignment="1">
      <alignment vertical="top" wrapText="1"/>
    </xf>
    <xf numFmtId="43" fontId="10" fillId="28" borderId="0" xfId="83" applyFont="1" applyFill="1" applyAlignment="1">
      <alignment horizontal="center"/>
    </xf>
    <xf numFmtId="0" fontId="71" fillId="28" borderId="0" xfId="82" applyFont="1" applyFill="1" applyAlignment="1">
      <alignment horizontal="centerContinuous"/>
    </xf>
    <xf numFmtId="0" fontId="11" fillId="28" borderId="0" xfId="49" applyFont="1" applyFill="1" applyAlignment="1">
      <alignment horizontal="center" vertical="top"/>
    </xf>
    <xf numFmtId="0" fontId="10" fillId="28" borderId="0" xfId="49" applyFont="1" applyFill="1" applyAlignment="1">
      <alignment horizontal="centerContinuous" vertical="center"/>
    </xf>
    <xf numFmtId="0" fontId="10" fillId="28" borderId="0" xfId="49" applyFont="1" applyFill="1" applyAlignment="1">
      <alignment horizontal="center" vertical="top"/>
    </xf>
    <xf numFmtId="0" fontId="73" fillId="29" borderId="13" xfId="82" applyFont="1" applyFill="1" applyBorder="1" applyAlignment="1">
      <alignment vertical="center"/>
    </xf>
    <xf numFmtId="0" fontId="10" fillId="28" borderId="0" xfId="49" applyFont="1" applyFill="1" applyAlignment="1">
      <alignment vertical="top"/>
    </xf>
    <xf numFmtId="3" fontId="10" fillId="28" borderId="0" xfId="49" applyNumberFormat="1" applyFont="1" applyFill="1" applyAlignment="1">
      <alignment vertical="top"/>
    </xf>
    <xf numFmtId="3" fontId="11" fillId="28" borderId="0" xfId="49" applyNumberFormat="1" applyFont="1" applyFill="1" applyAlignment="1">
      <alignment vertical="top"/>
    </xf>
    <xf numFmtId="3" fontId="10" fillId="28" borderId="0" xfId="49" applyNumberFormat="1" applyFont="1" applyFill="1" applyAlignment="1" applyProtection="1">
      <alignment vertical="top"/>
      <protection locked="0"/>
    </xf>
    <xf numFmtId="0" fontId="10" fillId="28" borderId="0" xfId="49" applyFont="1" applyFill="1" applyAlignment="1">
      <alignment horizontal="left" vertical="top"/>
    </xf>
    <xf numFmtId="0" fontId="11" fillId="28" borderId="0" xfId="49" applyFont="1" applyFill="1" applyAlignment="1">
      <alignment horizontal="left" vertical="top"/>
    </xf>
    <xf numFmtId="3" fontId="11" fillId="28" borderId="0" xfId="49" applyNumberFormat="1" applyFont="1" applyFill="1" applyAlignment="1">
      <alignment horizontal="right" vertical="top" wrapText="1"/>
    </xf>
    <xf numFmtId="0" fontId="71" fillId="28" borderId="10" xfId="82" applyFont="1" applyFill="1" applyBorder="1" applyAlignment="1">
      <alignment horizontal="left" vertical="top" wrapText="1"/>
    </xf>
    <xf numFmtId="0" fontId="71" fillId="28" borderId="0" xfId="82" applyFont="1" applyFill="1" applyAlignment="1">
      <alignment horizontal="left" vertical="top" wrapText="1"/>
    </xf>
    <xf numFmtId="0" fontId="71" fillId="28" borderId="11" xfId="82" applyFont="1" applyFill="1" applyBorder="1" applyAlignment="1">
      <alignment horizontal="left" wrapText="1"/>
    </xf>
    <xf numFmtId="0" fontId="71" fillId="28" borderId="0" xfId="82" applyFont="1" applyFill="1" applyAlignment="1">
      <alignment horizontal="left" wrapText="1"/>
    </xf>
    <xf numFmtId="0" fontId="11" fillId="28" borderId="19" xfId="49" applyFont="1" applyFill="1" applyBorder="1" applyAlignment="1">
      <alignment vertical="top"/>
    </xf>
    <xf numFmtId="3" fontId="10" fillId="28" borderId="19" xfId="49" applyNumberFormat="1" applyFont="1" applyFill="1" applyBorder="1" applyAlignment="1">
      <alignment vertical="top"/>
    </xf>
    <xf numFmtId="43" fontId="10" fillId="28" borderId="19" xfId="83" applyFont="1" applyFill="1" applyBorder="1" applyProtection="1">
      <protection locked="0"/>
    </xf>
    <xf numFmtId="0" fontId="71" fillId="28" borderId="19" xfId="82" applyFont="1" applyFill="1" applyBorder="1" applyProtection="1">
      <protection locked="0"/>
    </xf>
    <xf numFmtId="0" fontId="87" fillId="28" borderId="0" xfId="82" applyFont="1" applyFill="1"/>
    <xf numFmtId="0" fontId="88" fillId="28" borderId="0" xfId="85" applyFont="1" applyFill="1"/>
    <xf numFmtId="0" fontId="88" fillId="28" borderId="0" xfId="85" applyFont="1" applyFill="1" applyAlignment="1">
      <alignment horizontal="center"/>
    </xf>
    <xf numFmtId="0" fontId="87" fillId="28" borderId="0" xfId="85" applyFont="1" applyFill="1"/>
    <xf numFmtId="0" fontId="89" fillId="28" borderId="22" xfId="85" applyFont="1" applyFill="1" applyBorder="1"/>
    <xf numFmtId="0" fontId="89" fillId="28" borderId="24" xfId="85" applyFont="1" applyFill="1" applyBorder="1"/>
    <xf numFmtId="0" fontId="89" fillId="28" borderId="23" xfId="85" applyFont="1" applyFill="1" applyBorder="1"/>
    <xf numFmtId="0" fontId="89" fillId="28" borderId="23" xfId="85" applyFont="1" applyFill="1" applyBorder="1" applyAlignment="1">
      <alignment horizontal="center"/>
    </xf>
    <xf numFmtId="0" fontId="89" fillId="28" borderId="16" xfId="85" applyFont="1" applyFill="1" applyBorder="1" applyAlignment="1">
      <alignment horizontal="center"/>
    </xf>
    <xf numFmtId="0" fontId="90" fillId="28" borderId="12" xfId="82" applyFont="1" applyFill="1" applyBorder="1" applyAlignment="1">
      <alignment vertical="center" wrapText="1"/>
    </xf>
    <xf numFmtId="0" fontId="89" fillId="28" borderId="10" xfId="85" applyFont="1" applyFill="1" applyBorder="1" applyAlignment="1">
      <alignment horizontal="center" vertical="center"/>
    </xf>
    <xf numFmtId="174" fontId="90" fillId="28" borderId="12" xfId="83" applyNumberFormat="1" applyFont="1" applyFill="1" applyBorder="1" applyAlignment="1">
      <alignment vertical="center" wrapText="1"/>
    </xf>
    <xf numFmtId="0" fontId="91" fillId="28" borderId="0" xfId="85" applyFont="1" applyFill="1"/>
    <xf numFmtId="0" fontId="89" fillId="28" borderId="20" xfId="85" applyFont="1" applyFill="1" applyBorder="1" applyAlignment="1">
      <alignment horizontal="center" vertical="center"/>
    </xf>
    <xf numFmtId="0" fontId="89" fillId="28" borderId="19" xfId="85" applyFont="1" applyFill="1" applyBorder="1" applyAlignment="1">
      <alignment horizontal="center" vertical="center"/>
    </xf>
    <xf numFmtId="0" fontId="89" fillId="28" borderId="21" xfId="85" applyFont="1" applyFill="1" applyBorder="1" applyAlignment="1">
      <alignment wrapText="1"/>
    </xf>
    <xf numFmtId="174" fontId="89" fillId="28" borderId="21" xfId="86" applyNumberFormat="1" applyFont="1" applyFill="1" applyBorder="1" applyAlignment="1">
      <alignment horizontal="center"/>
    </xf>
    <xf numFmtId="174" fontId="89" fillId="28" borderId="18" xfId="86" applyNumberFormat="1" applyFont="1" applyFill="1" applyBorder="1" applyAlignment="1">
      <alignment horizontal="center"/>
    </xf>
    <xf numFmtId="0" fontId="91" fillId="28" borderId="13" xfId="85" applyFont="1" applyFill="1" applyBorder="1" applyAlignment="1">
      <alignment horizontal="centerContinuous"/>
    </xf>
    <xf numFmtId="0" fontId="91" fillId="28" borderId="14" xfId="85" applyFont="1" applyFill="1" applyBorder="1" applyAlignment="1">
      <alignment horizontal="centerContinuous"/>
    </xf>
    <xf numFmtId="0" fontId="91" fillId="28" borderId="15" xfId="85" applyFont="1" applyFill="1" applyBorder="1" applyAlignment="1">
      <alignment horizontal="left" wrapText="1"/>
    </xf>
    <xf numFmtId="0" fontId="14" fillId="28" borderId="24" xfId="82" applyFont="1" applyFill="1" applyBorder="1" applyAlignment="1">
      <alignment vertical="top" wrapText="1"/>
    </xf>
    <xf numFmtId="0" fontId="91" fillId="28" borderId="10" xfId="85" applyFont="1" applyFill="1" applyBorder="1" applyAlignment="1">
      <alignment horizontal="left"/>
    </xf>
    <xf numFmtId="0" fontId="91" fillId="28" borderId="0" xfId="85" applyFont="1" applyFill="1" applyAlignment="1">
      <alignment horizontal="left"/>
    </xf>
    <xf numFmtId="0" fontId="87" fillId="28" borderId="11" xfId="82" applyFont="1" applyFill="1" applyBorder="1"/>
    <xf numFmtId="0" fontId="92" fillId="28" borderId="12" xfId="82" applyFont="1" applyFill="1" applyBorder="1" applyAlignment="1">
      <alignment vertical="center" wrapText="1"/>
    </xf>
    <xf numFmtId="0" fontId="90" fillId="28" borderId="11" xfId="82" applyFont="1" applyFill="1" applyBorder="1" applyAlignment="1">
      <alignment vertical="center" wrapText="1"/>
    </xf>
    <xf numFmtId="174" fontId="89" fillId="28" borderId="12" xfId="86" applyNumberFormat="1" applyFont="1" applyFill="1" applyBorder="1" applyAlignment="1">
      <alignment horizontal="center"/>
    </xf>
    <xf numFmtId="174" fontId="92" fillId="28" borderId="12" xfId="83" applyNumberFormat="1" applyFont="1" applyFill="1" applyBorder="1" applyAlignment="1">
      <alignment vertical="center" wrapText="1"/>
    </xf>
    <xf numFmtId="0" fontId="87" fillId="0" borderId="0" xfId="82" applyFont="1"/>
    <xf numFmtId="0" fontId="91" fillId="28" borderId="10" xfId="85" applyFont="1" applyFill="1" applyBorder="1" applyAlignment="1">
      <alignment horizontal="center" vertical="center"/>
    </xf>
    <xf numFmtId="0" fontId="88" fillId="28" borderId="0" xfId="82" applyFont="1" applyFill="1"/>
    <xf numFmtId="0" fontId="88" fillId="28" borderId="11" xfId="82" applyFont="1" applyFill="1" applyBorder="1"/>
    <xf numFmtId="174" fontId="91" fillId="28" borderId="12" xfId="83" applyNumberFormat="1" applyFont="1" applyFill="1" applyBorder="1" applyAlignment="1">
      <alignment horizontal="center"/>
    </xf>
    <xf numFmtId="0" fontId="88" fillId="0" borderId="0" xfId="82" applyFont="1"/>
    <xf numFmtId="0" fontId="89" fillId="28" borderId="0" xfId="85" applyFont="1" applyFill="1" applyAlignment="1">
      <alignment horizontal="center" vertical="center"/>
    </xf>
    <xf numFmtId="0" fontId="91" fillId="28" borderId="15" xfId="85" applyFont="1" applyFill="1" applyBorder="1" applyAlignment="1">
      <alignment horizontal="left" wrapText="1" indent="1"/>
    </xf>
    <xf numFmtId="0" fontId="7" fillId="28" borderId="0" xfId="82" applyFill="1"/>
    <xf numFmtId="0" fontId="87" fillId="28" borderId="10" xfId="82" applyFont="1" applyFill="1" applyBorder="1" applyAlignment="1">
      <alignment horizontal="justify" vertical="center" wrapText="1"/>
    </xf>
    <xf numFmtId="0" fontId="87" fillId="28" borderId="11" xfId="82" applyFont="1" applyFill="1" applyBorder="1" applyAlignment="1">
      <alignment horizontal="justify" vertical="center" wrapText="1"/>
    </xf>
    <xf numFmtId="0" fontId="87" fillId="28" borderId="12" xfId="82" applyFont="1" applyFill="1" applyBorder="1" applyAlignment="1">
      <alignment horizontal="justify" vertical="center" wrapText="1"/>
    </xf>
    <xf numFmtId="0" fontId="87" fillId="28" borderId="10" xfId="82" applyFont="1" applyFill="1" applyBorder="1" applyAlignment="1">
      <alignment horizontal="justify" vertical="top" wrapText="1"/>
    </xf>
    <xf numFmtId="0" fontId="87" fillId="28" borderId="11" xfId="82" applyFont="1" applyFill="1" applyBorder="1" applyAlignment="1">
      <alignment horizontal="justify" vertical="top" wrapText="1"/>
    </xf>
    <xf numFmtId="174" fontId="87" fillId="28" borderId="12" xfId="83" applyNumberFormat="1" applyFont="1" applyFill="1" applyBorder="1" applyAlignment="1">
      <alignment horizontal="right" vertical="top" wrapText="1"/>
    </xf>
    <xf numFmtId="0" fontId="7" fillId="0" borderId="0" xfId="82"/>
    <xf numFmtId="0" fontId="87" fillId="28" borderId="20" xfId="82" applyFont="1" applyFill="1" applyBorder="1" applyAlignment="1">
      <alignment horizontal="justify" vertical="top" wrapText="1"/>
    </xf>
    <xf numFmtId="0" fontId="87" fillId="28" borderId="21" xfId="82" applyFont="1" applyFill="1" applyBorder="1" applyAlignment="1">
      <alignment horizontal="justify" vertical="top" wrapText="1"/>
    </xf>
    <xf numFmtId="174" fontId="87" fillId="28" borderId="18" xfId="83" applyNumberFormat="1" applyFont="1" applyFill="1" applyBorder="1" applyAlignment="1">
      <alignment horizontal="justify" vertical="top" wrapText="1"/>
    </xf>
    <xf numFmtId="0" fontId="93" fillId="28" borderId="0" xfId="82" applyFont="1" applyFill="1"/>
    <xf numFmtId="0" fontId="88" fillId="28" borderId="20" xfId="82" applyFont="1" applyFill="1" applyBorder="1" applyAlignment="1">
      <alignment horizontal="justify" vertical="top" wrapText="1"/>
    </xf>
    <xf numFmtId="0" fontId="88" fillId="28" borderId="21" xfId="82" applyFont="1" applyFill="1" applyBorder="1" applyAlignment="1">
      <alignment horizontal="justify" vertical="top" wrapText="1"/>
    </xf>
    <xf numFmtId="174" fontId="88" fillId="28" borderId="18" xfId="83" applyNumberFormat="1" applyFont="1" applyFill="1" applyBorder="1" applyAlignment="1">
      <alignment horizontal="right" vertical="top" wrapText="1"/>
    </xf>
    <xf numFmtId="0" fontId="93" fillId="0" borderId="0" xfId="82" applyFont="1"/>
    <xf numFmtId="0" fontId="87" fillId="28" borderId="22" xfId="82" applyFont="1" applyFill="1" applyBorder="1" applyAlignment="1">
      <alignment horizontal="justify" vertical="center" wrapText="1"/>
    </xf>
    <xf numFmtId="0" fontId="87" fillId="28" borderId="23" xfId="82" applyFont="1" applyFill="1" applyBorder="1" applyAlignment="1">
      <alignment horizontal="justify" vertical="center" wrapText="1"/>
    </xf>
    <xf numFmtId="0" fontId="87" fillId="28" borderId="16" xfId="82" applyFont="1" applyFill="1" applyBorder="1" applyAlignment="1">
      <alignment horizontal="justify" vertical="center" wrapText="1"/>
    </xf>
    <xf numFmtId="0" fontId="88" fillId="28" borderId="11" xfId="82" applyFont="1" applyFill="1" applyBorder="1" applyAlignment="1">
      <alignment horizontal="justify" vertical="center" wrapText="1"/>
    </xf>
    <xf numFmtId="174" fontId="87" fillId="28" borderId="12" xfId="83" applyNumberFormat="1" applyFont="1" applyFill="1" applyBorder="1" applyAlignment="1">
      <alignment horizontal="right" vertical="center" wrapText="1"/>
    </xf>
    <xf numFmtId="0" fontId="88" fillId="28" borderId="10" xfId="82" applyFont="1" applyFill="1" applyBorder="1" applyAlignment="1">
      <alignment horizontal="justify" vertical="center" wrapText="1"/>
    </xf>
    <xf numFmtId="0" fontId="88" fillId="28" borderId="20" xfId="82" applyFont="1" applyFill="1" applyBorder="1" applyAlignment="1">
      <alignment horizontal="justify" vertical="center" wrapText="1"/>
    </xf>
    <xf numFmtId="0" fontId="88" fillId="28" borderId="21" xfId="82" applyFont="1" applyFill="1" applyBorder="1" applyAlignment="1">
      <alignment horizontal="justify" vertical="center" wrapText="1"/>
    </xf>
    <xf numFmtId="174" fontId="87" fillId="28" borderId="18" xfId="83" applyNumberFormat="1" applyFont="1" applyFill="1" applyBorder="1" applyAlignment="1">
      <alignment horizontal="justify" vertical="center" wrapText="1"/>
    </xf>
    <xf numFmtId="174" fontId="88" fillId="28" borderId="18" xfId="83" applyNumberFormat="1" applyFont="1" applyFill="1" applyBorder="1" applyAlignment="1">
      <alignment horizontal="right" vertical="center" wrapText="1"/>
    </xf>
    <xf numFmtId="0" fontId="94" fillId="0" borderId="0" xfId="82" applyFont="1" applyAlignment="1">
      <alignment horizontal="center"/>
    </xf>
    <xf numFmtId="174" fontId="88" fillId="28" borderId="12" xfId="83" applyNumberFormat="1" applyFont="1" applyFill="1" applyBorder="1" applyAlignment="1">
      <alignment horizontal="right" vertical="center" wrapText="1"/>
    </xf>
    <xf numFmtId="0" fontId="90" fillId="28" borderId="10" xfId="82" applyFont="1" applyFill="1" applyBorder="1" applyAlignment="1">
      <alignment horizontal="center" vertical="center" wrapText="1"/>
    </xf>
    <xf numFmtId="0" fontId="90" fillId="28" borderId="0" xfId="82" applyFont="1" applyFill="1" applyAlignment="1">
      <alignment vertical="center" wrapText="1"/>
    </xf>
    <xf numFmtId="0" fontId="88" fillId="28" borderId="13" xfId="82" applyFont="1" applyFill="1" applyBorder="1" applyAlignment="1">
      <alignment horizontal="justify" vertical="center" wrapText="1"/>
    </xf>
    <xf numFmtId="0" fontId="88" fillId="28" borderId="15" xfId="82" applyFont="1" applyFill="1" applyBorder="1" applyAlignment="1">
      <alignment horizontal="justify" vertical="center" wrapText="1"/>
    </xf>
    <xf numFmtId="174" fontId="88" fillId="28" borderId="17" xfId="83" applyNumberFormat="1" applyFont="1" applyFill="1" applyBorder="1" applyAlignment="1">
      <alignment vertical="center" wrapText="1"/>
    </xf>
    <xf numFmtId="0" fontId="95" fillId="0" borderId="0" xfId="82" applyFont="1" applyAlignment="1">
      <alignment horizontal="center"/>
    </xf>
    <xf numFmtId="0" fontId="87" fillId="28" borderId="22" xfId="82" applyFont="1" applyFill="1" applyBorder="1" applyAlignment="1">
      <alignment horizontal="left" vertical="center" wrapText="1"/>
    </xf>
    <xf numFmtId="0" fontId="7" fillId="28" borderId="0" xfId="82" applyFill="1" applyAlignment="1">
      <alignment vertical="top"/>
    </xf>
    <xf numFmtId="174" fontId="88" fillId="28" borderId="12" xfId="83" applyNumberFormat="1" applyFont="1" applyFill="1" applyBorder="1" applyAlignment="1">
      <alignment horizontal="right" vertical="top" wrapText="1"/>
    </xf>
    <xf numFmtId="0" fontId="7" fillId="0" borderId="0" xfId="82" applyAlignment="1">
      <alignment vertical="top"/>
    </xf>
    <xf numFmtId="0" fontId="87" fillId="28" borderId="10" xfId="82" applyFont="1" applyFill="1" applyBorder="1" applyAlignment="1">
      <alignment horizontal="left" vertical="top"/>
    </xf>
    <xf numFmtId="0" fontId="87" fillId="28" borderId="11" xfId="82" applyFont="1" applyFill="1" applyBorder="1" applyAlignment="1">
      <alignment horizontal="justify" vertical="top"/>
    </xf>
    <xf numFmtId="0" fontId="93" fillId="28" borderId="0" xfId="82" applyFont="1" applyFill="1" applyAlignment="1">
      <alignment vertical="top"/>
    </xf>
    <xf numFmtId="0" fontId="93" fillId="0" borderId="0" xfId="82" applyFont="1" applyAlignment="1">
      <alignment vertical="top"/>
    </xf>
    <xf numFmtId="174" fontId="87" fillId="28" borderId="12" xfId="83" applyNumberFormat="1" applyFont="1" applyFill="1" applyBorder="1" applyAlignment="1">
      <alignment horizontal="right" vertical="top"/>
    </xf>
    <xf numFmtId="174" fontId="88" fillId="28" borderId="12" xfId="83" applyNumberFormat="1" applyFont="1" applyFill="1" applyBorder="1" applyAlignment="1">
      <alignment horizontal="right" vertical="top"/>
    </xf>
    <xf numFmtId="0" fontId="87" fillId="28" borderId="20" xfId="82" applyFont="1" applyFill="1" applyBorder="1" applyAlignment="1">
      <alignment horizontal="left" vertical="top"/>
    </xf>
    <xf numFmtId="0" fontId="87" fillId="28" borderId="21" xfId="82" applyFont="1" applyFill="1" applyBorder="1" applyAlignment="1">
      <alignment vertical="top"/>
    </xf>
    <xf numFmtId="174" fontId="87" fillId="28" borderId="18" xfId="83" applyNumberFormat="1" applyFont="1" applyFill="1" applyBorder="1" applyAlignment="1">
      <alignment horizontal="right" vertical="top"/>
    </xf>
    <xf numFmtId="0" fontId="88" fillId="28" borderId="20" xfId="82" applyFont="1" applyFill="1" applyBorder="1" applyAlignment="1">
      <alignment horizontal="left" vertical="top"/>
    </xf>
    <xf numFmtId="0" fontId="88" fillId="28" borderId="21" xfId="82" applyFont="1" applyFill="1" applyBorder="1" applyAlignment="1">
      <alignment vertical="top"/>
    </xf>
    <xf numFmtId="174" fontId="88" fillId="28" borderId="18" xfId="83" applyNumberFormat="1" applyFont="1" applyFill="1" applyBorder="1" applyAlignment="1">
      <alignment horizontal="right" vertical="top"/>
    </xf>
    <xf numFmtId="0" fontId="96" fillId="0" borderId="0" xfId="82" applyFont="1" applyAlignment="1">
      <alignment horizontal="center"/>
    </xf>
    <xf numFmtId="0" fontId="87" fillId="0" borderId="0" xfId="82" applyFont="1" applyAlignment="1">
      <alignment horizontal="left"/>
    </xf>
    <xf numFmtId="0" fontId="97" fillId="28" borderId="0" xfId="82" applyFont="1" applyFill="1"/>
    <xf numFmtId="0" fontId="97" fillId="0" borderId="0" xfId="82" applyFont="1"/>
    <xf numFmtId="0" fontId="87" fillId="28" borderId="11" xfId="82" applyFont="1" applyFill="1" applyBorder="1" applyAlignment="1">
      <alignment horizontal="right" vertical="center" wrapText="1"/>
    </xf>
    <xf numFmtId="0" fontId="87" fillId="28" borderId="12" xfId="82" applyFont="1" applyFill="1" applyBorder="1" applyAlignment="1">
      <alignment horizontal="right" vertical="center" wrapText="1"/>
    </xf>
    <xf numFmtId="174" fontId="88" fillId="28" borderId="11" xfId="83" applyNumberFormat="1" applyFont="1" applyFill="1" applyBorder="1" applyAlignment="1">
      <alignment horizontal="right" vertical="center" wrapText="1"/>
    </xf>
    <xf numFmtId="0" fontId="87" fillId="28" borderId="0" xfId="82" applyFont="1" applyFill="1" applyAlignment="1">
      <alignment horizontal="justify" vertical="center" wrapText="1"/>
    </xf>
    <xf numFmtId="174" fontId="87" fillId="28" borderId="11" xfId="83" applyNumberFormat="1" applyFont="1" applyFill="1" applyBorder="1" applyAlignment="1">
      <alignment horizontal="right" vertical="center" wrapText="1"/>
    </xf>
    <xf numFmtId="0" fontId="87" fillId="28" borderId="20" xfId="82" applyFont="1" applyFill="1" applyBorder="1" applyAlignment="1">
      <alignment horizontal="justify" vertical="center" wrapText="1"/>
    </xf>
    <xf numFmtId="0" fontId="87" fillId="28" borderId="19" xfId="82" applyFont="1" applyFill="1" applyBorder="1" applyAlignment="1">
      <alignment horizontal="justify" vertical="center" wrapText="1"/>
    </xf>
    <xf numFmtId="0" fontId="87" fillId="28" borderId="21" xfId="82" applyFont="1" applyFill="1" applyBorder="1" applyAlignment="1">
      <alignment horizontal="justify" vertical="center" wrapText="1"/>
    </xf>
    <xf numFmtId="174" fontId="87" fillId="28" borderId="21" xfId="83" applyNumberFormat="1" applyFont="1" applyFill="1" applyBorder="1" applyAlignment="1">
      <alignment horizontal="right" vertical="center" wrapText="1"/>
    </xf>
    <xf numFmtId="174" fontId="87" fillId="28" borderId="18" xfId="83" applyNumberFormat="1" applyFont="1" applyFill="1" applyBorder="1" applyAlignment="1">
      <alignment horizontal="right" vertical="center" wrapText="1"/>
    </xf>
    <xf numFmtId="0" fontId="87" fillId="28" borderId="26" xfId="82" applyFont="1" applyFill="1" applyBorder="1" applyAlignment="1">
      <alignment horizontal="justify" vertical="center" wrapText="1"/>
    </xf>
    <xf numFmtId="0" fontId="88" fillId="28" borderId="38" xfId="82" applyFont="1" applyFill="1" applyBorder="1" applyAlignment="1">
      <alignment horizontal="justify" vertical="center" wrapText="1"/>
    </xf>
    <xf numFmtId="174" fontId="87" fillId="28" borderId="39" xfId="83" applyNumberFormat="1" applyFont="1" applyFill="1" applyBorder="1" applyAlignment="1">
      <alignment horizontal="right" vertical="center" wrapText="1"/>
    </xf>
    <xf numFmtId="174" fontId="87" fillId="28" borderId="17" xfId="83" applyNumberFormat="1" applyFont="1" applyFill="1" applyBorder="1" applyAlignment="1">
      <alignment horizontal="right" vertical="center" wrapText="1"/>
    </xf>
    <xf numFmtId="0" fontId="88" fillId="28" borderId="26" xfId="82" applyFont="1" applyFill="1" applyBorder="1" applyAlignment="1">
      <alignment horizontal="justify" vertical="center" wrapText="1"/>
    </xf>
    <xf numFmtId="174" fontId="87" fillId="28" borderId="0" xfId="83" applyNumberFormat="1" applyFont="1" applyFill="1"/>
    <xf numFmtId="174" fontId="87" fillId="28" borderId="16" xfId="83" applyNumberFormat="1" applyFont="1" applyFill="1" applyBorder="1" applyAlignment="1">
      <alignment horizontal="justify" vertical="center" wrapText="1"/>
    </xf>
    <xf numFmtId="174" fontId="88" fillId="28" borderId="39" xfId="83" applyNumberFormat="1" applyFont="1" applyFill="1" applyBorder="1" applyAlignment="1">
      <alignment horizontal="right" vertical="center" wrapText="1"/>
    </xf>
    <xf numFmtId="0" fontId="10" fillId="28" borderId="0" xfId="82" applyFont="1" applyFill="1" applyAlignment="1" applyProtection="1">
      <alignment vertical="top" wrapText="1"/>
      <protection locked="0"/>
    </xf>
    <xf numFmtId="0" fontId="71" fillId="28" borderId="52" xfId="82" applyFont="1" applyFill="1" applyBorder="1" applyAlignment="1">
      <alignment horizontal="center" vertical="center" wrapText="1"/>
    </xf>
    <xf numFmtId="0" fontId="71" fillId="28" borderId="53" xfId="82" applyFont="1" applyFill="1" applyBorder="1" applyAlignment="1">
      <alignment horizontal="center" vertical="center" wrapText="1"/>
    </xf>
    <xf numFmtId="0" fontId="71" fillId="28" borderId="18" xfId="82" applyFont="1" applyFill="1" applyBorder="1" applyAlignment="1">
      <alignment horizontal="center" vertical="center" wrapText="1"/>
    </xf>
    <xf numFmtId="0" fontId="71" fillId="28" borderId="18" xfId="82" quotePrefix="1" applyFont="1" applyFill="1" applyBorder="1" applyAlignment="1">
      <alignment horizontal="center" vertical="center" wrapText="1"/>
    </xf>
    <xf numFmtId="0" fontId="71" fillId="28" borderId="17" xfId="82" applyFont="1" applyFill="1" applyBorder="1" applyAlignment="1">
      <alignment horizontal="center" vertical="center" wrapText="1"/>
    </xf>
    <xf numFmtId="0" fontId="71" fillId="28" borderId="17" xfId="82" quotePrefix="1" applyFont="1" applyFill="1" applyBorder="1" applyAlignment="1">
      <alignment horizontal="center" vertical="center" wrapText="1"/>
    </xf>
    <xf numFmtId="0" fontId="71" fillId="28" borderId="17" xfId="82" applyFont="1" applyFill="1" applyBorder="1" applyAlignment="1">
      <alignment horizontal="justify" vertical="center" wrapText="1"/>
    </xf>
    <xf numFmtId="0" fontId="71" fillId="0" borderId="0" xfId="82" applyFont="1"/>
    <xf numFmtId="0" fontId="73" fillId="28" borderId="0" xfId="82" applyFont="1" applyFill="1" applyAlignment="1">
      <alignment horizontal="center"/>
    </xf>
    <xf numFmtId="0" fontId="11" fillId="28" borderId="10" xfId="82" applyFont="1" applyFill="1" applyBorder="1"/>
    <xf numFmtId="3" fontId="79" fillId="28" borderId="0" xfId="82" applyNumberFormat="1" applyFont="1" applyFill="1" applyAlignment="1">
      <alignment vertical="top"/>
    </xf>
    <xf numFmtId="0" fontId="75" fillId="28" borderId="10" xfId="82" applyFont="1" applyFill="1" applyBorder="1" applyAlignment="1">
      <alignment horizontal="left" vertical="top"/>
    </xf>
    <xf numFmtId="3" fontId="75" fillId="28" borderId="0" xfId="82" applyNumberFormat="1" applyFont="1" applyFill="1" applyAlignment="1">
      <alignment vertical="top"/>
    </xf>
    <xf numFmtId="0" fontId="102" fillId="28" borderId="0" xfId="82" applyFont="1" applyFill="1" applyAlignment="1">
      <alignment vertical="top"/>
    </xf>
    <xf numFmtId="3" fontId="75" fillId="28" borderId="0" xfId="83" applyNumberFormat="1" applyFont="1" applyFill="1" applyAlignment="1">
      <alignment vertical="top"/>
    </xf>
    <xf numFmtId="0" fontId="102" fillId="28" borderId="11" xfId="82" applyFont="1" applyFill="1" applyBorder="1" applyAlignment="1">
      <alignment vertical="top"/>
    </xf>
    <xf numFmtId="0" fontId="71" fillId="28" borderId="20" xfId="82" applyFont="1" applyFill="1" applyBorder="1"/>
    <xf numFmtId="0" fontId="10" fillId="28" borderId="19" xfId="82" applyFont="1" applyFill="1" applyBorder="1" applyProtection="1">
      <protection locked="0"/>
    </xf>
    <xf numFmtId="0" fontId="10" fillId="28" borderId="19" xfId="82" applyFont="1" applyFill="1" applyBorder="1" applyAlignment="1" applyProtection="1">
      <alignment vertical="center"/>
      <protection locked="0"/>
    </xf>
    <xf numFmtId="0" fontId="10" fillId="28" borderId="19" xfId="82" applyFont="1" applyFill="1" applyBorder="1" applyAlignment="1" applyProtection="1">
      <alignment vertical="top"/>
      <protection locked="0"/>
    </xf>
    <xf numFmtId="0" fontId="10" fillId="28" borderId="0" xfId="82" applyFont="1" applyFill="1" applyAlignment="1" applyProtection="1">
      <alignment vertical="top"/>
      <protection locked="0"/>
    </xf>
    <xf numFmtId="3" fontId="80" fillId="28" borderId="0" xfId="82" applyNumberFormat="1" applyFont="1" applyFill="1"/>
    <xf numFmtId="0" fontId="80" fillId="28" borderId="0" xfId="82" applyFont="1" applyFill="1"/>
    <xf numFmtId="0" fontId="104" fillId="28" borderId="0" xfId="82" applyFont="1" applyFill="1"/>
    <xf numFmtId="0" fontId="105" fillId="28" borderId="0" xfId="82" applyFont="1" applyFill="1"/>
    <xf numFmtId="0" fontId="106" fillId="28" borderId="0" xfId="82" applyFont="1" applyFill="1"/>
    <xf numFmtId="0" fontId="105" fillId="28" borderId="0" xfId="49" applyFont="1" applyFill="1"/>
    <xf numFmtId="0" fontId="105" fillId="28" borderId="0" xfId="85" applyFont="1" applyFill="1"/>
    <xf numFmtId="0" fontId="87" fillId="28" borderId="13" xfId="82" applyFont="1" applyFill="1" applyBorder="1"/>
    <xf numFmtId="0" fontId="87" fillId="28" borderId="15" xfId="82" applyFont="1" applyFill="1" applyBorder="1"/>
    <xf numFmtId="0" fontId="87" fillId="28" borderId="13" xfId="82" applyFont="1" applyFill="1" applyBorder="1" applyAlignment="1">
      <alignment vertical="center" wrapText="1"/>
    </xf>
    <xf numFmtId="0" fontId="87" fillId="28" borderId="15" xfId="82" applyFont="1" applyFill="1" applyBorder="1" applyAlignment="1">
      <alignment vertical="center" wrapText="1"/>
    </xf>
    <xf numFmtId="165" fontId="87" fillId="28" borderId="15" xfId="33" applyFont="1" applyFill="1" applyBorder="1"/>
    <xf numFmtId="165" fontId="98" fillId="28" borderId="17" xfId="33" applyFont="1" applyFill="1" applyBorder="1"/>
    <xf numFmtId="165" fontId="87" fillId="28" borderId="17" xfId="33" applyFont="1" applyFill="1" applyBorder="1"/>
    <xf numFmtId="165" fontId="87" fillId="28" borderId="17" xfId="33" applyFont="1" applyFill="1" applyBorder="1" applyAlignment="1">
      <alignment horizontal="right"/>
    </xf>
    <xf numFmtId="0" fontId="9" fillId="0" borderId="22" xfId="0" applyFont="1" applyBorder="1"/>
    <xf numFmtId="0" fontId="9" fillId="0" borderId="20" xfId="0" applyFont="1" applyBorder="1"/>
    <xf numFmtId="0" fontId="8" fillId="25" borderId="13" xfId="0" applyFont="1" applyFill="1" applyBorder="1"/>
    <xf numFmtId="0" fontId="8" fillId="25" borderId="14" xfId="0" applyFont="1" applyFill="1" applyBorder="1" applyAlignment="1">
      <alignment horizontal="center" vertical="center" wrapText="1"/>
    </xf>
    <xf numFmtId="0" fontId="8" fillId="25" borderId="14" xfId="0" applyFont="1" applyFill="1" applyBorder="1" applyAlignment="1">
      <alignment horizontal="center" wrapText="1"/>
    </xf>
    <xf numFmtId="0" fontId="8" fillId="25" borderId="15" xfId="0" applyFont="1" applyFill="1" applyBorder="1" applyAlignment="1">
      <alignment horizontal="center" wrapText="1"/>
    </xf>
    <xf numFmtId="166" fontId="0" fillId="0" borderId="24" xfId="33" applyNumberFormat="1" applyFont="1" applyBorder="1"/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9" fontId="0" fillId="0" borderId="11" xfId="81" applyFont="1" applyBorder="1" applyAlignment="1">
      <alignment horizontal="center"/>
    </xf>
    <xf numFmtId="165" fontId="9" fillId="0" borderId="11" xfId="33" applyBorder="1" applyAlignment="1">
      <alignment horizontal="center"/>
    </xf>
    <xf numFmtId="9" fontId="0" fillId="0" borderId="21" xfId="81" applyFont="1" applyBorder="1" applyAlignment="1">
      <alignment horizontal="center"/>
    </xf>
    <xf numFmtId="0" fontId="0" fillId="0" borderId="22" xfId="0" applyBorder="1"/>
    <xf numFmtId="166" fontId="0" fillId="0" borderId="23" xfId="33" applyNumberFormat="1" applyFont="1" applyBorder="1"/>
    <xf numFmtId="166" fontId="0" fillId="0" borderId="21" xfId="33" applyNumberFormat="1" applyFont="1" applyBorder="1"/>
    <xf numFmtId="0" fontId="0" fillId="0" borderId="13" xfId="0" applyBorder="1"/>
    <xf numFmtId="166" fontId="0" fillId="0" borderId="14" xfId="33" applyNumberFormat="1" applyFont="1" applyBorder="1"/>
    <xf numFmtId="166" fontId="0" fillId="0" borderId="15" xfId="33" applyNumberFormat="1" applyFont="1" applyBorder="1"/>
    <xf numFmtId="0" fontId="8" fillId="25" borderId="14" xfId="0" applyFont="1" applyFill="1" applyBorder="1"/>
    <xf numFmtId="0" fontId="8" fillId="25" borderId="15" xfId="0" applyFont="1" applyFill="1" applyBorder="1"/>
    <xf numFmtId="4" fontId="57" fillId="0" borderId="0" xfId="0" applyNumberFormat="1" applyFont="1"/>
    <xf numFmtId="0" fontId="0" fillId="0" borderId="15" xfId="0" applyBorder="1"/>
    <xf numFmtId="0" fontId="9" fillId="0" borderId="13" xfId="0" applyFont="1" applyBorder="1"/>
    <xf numFmtId="166" fontId="0" fillId="0" borderId="14" xfId="0" applyNumberFormat="1" applyBorder="1"/>
    <xf numFmtId="0" fontId="0" fillId="25" borderId="15" xfId="0" applyFill="1" applyBorder="1"/>
    <xf numFmtId="0" fontId="57" fillId="0" borderId="0" xfId="0" applyFont="1"/>
    <xf numFmtId="0" fontId="57" fillId="0" borderId="0" xfId="0" applyFont="1" applyAlignment="1">
      <alignment horizontal="right"/>
    </xf>
    <xf numFmtId="3" fontId="9" fillId="0" borderId="0" xfId="0" applyNumberFormat="1" applyFont="1"/>
    <xf numFmtId="0" fontId="9" fillId="0" borderId="15" xfId="0" applyFont="1" applyBorder="1"/>
    <xf numFmtId="3" fontId="0" fillId="0" borderId="17" xfId="0" applyNumberFormat="1" applyBorder="1"/>
    <xf numFmtId="166" fontId="0" fillId="0" borderId="17" xfId="33" applyNumberFormat="1" applyFont="1" applyBorder="1"/>
    <xf numFmtId="0" fontId="9" fillId="25" borderId="13" xfId="0" applyFont="1" applyFill="1" applyBorder="1"/>
    <xf numFmtId="166" fontId="0" fillId="25" borderId="17" xfId="33" applyNumberFormat="1" applyFont="1" applyFill="1" applyBorder="1"/>
    <xf numFmtId="3" fontId="0" fillId="25" borderId="17" xfId="0" applyNumberFormat="1" applyFill="1" applyBorder="1"/>
    <xf numFmtId="9" fontId="0" fillId="0" borderId="17" xfId="81" applyFont="1" applyBorder="1"/>
    <xf numFmtId="0" fontId="0" fillId="26" borderId="17" xfId="0" applyFill="1" applyBorder="1" applyAlignment="1">
      <alignment vertical="center"/>
    </xf>
    <xf numFmtId="0" fontId="0" fillId="26" borderId="17" xfId="0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8" fillId="30" borderId="17" xfId="0" applyFont="1" applyFill="1" applyBorder="1"/>
    <xf numFmtId="0" fontId="8" fillId="30" borderId="17" xfId="0" applyFont="1" applyFill="1" applyBorder="1" applyAlignment="1">
      <alignment horizontal="center"/>
    </xf>
    <xf numFmtId="0" fontId="9" fillId="25" borderId="17" xfId="0" applyFont="1" applyFill="1" applyBorder="1"/>
    <xf numFmtId="0" fontId="13" fillId="0" borderId="0" xfId="0" applyFont="1" applyAlignment="1">
      <alignment horizontal="center"/>
    </xf>
    <xf numFmtId="0" fontId="98" fillId="0" borderId="0" xfId="82" applyFont="1"/>
    <xf numFmtId="0" fontId="107" fillId="0" borderId="0" xfId="82" applyFont="1"/>
    <xf numFmtId="0" fontId="9" fillId="0" borderId="21" xfId="0" applyFont="1" applyBorder="1" applyAlignment="1">
      <alignment wrapText="1"/>
    </xf>
    <xf numFmtId="174" fontId="90" fillId="0" borderId="12" xfId="83" applyNumberFormat="1" applyFont="1" applyBorder="1" applyAlignment="1">
      <alignment vertical="center" wrapText="1"/>
    </xf>
    <xf numFmtId="166" fontId="57" fillId="0" borderId="0" xfId="0" applyNumberFormat="1" applyFont="1"/>
    <xf numFmtId="0" fontId="9" fillId="0" borderId="0" xfId="0" applyFont="1" applyAlignment="1">
      <alignment horizontal="left" vertical="center" wrapText="1"/>
    </xf>
    <xf numFmtId="166" fontId="9" fillId="0" borderId="12" xfId="33" applyNumberFormat="1" applyBorder="1" applyAlignment="1">
      <alignment vertical="center"/>
    </xf>
    <xf numFmtId="166" fontId="90" fillId="28" borderId="12" xfId="33" applyNumberFormat="1" applyFont="1" applyFill="1" applyBorder="1" applyAlignment="1">
      <alignment vertical="center" wrapText="1"/>
    </xf>
    <xf numFmtId="166" fontId="90" fillId="28" borderId="12" xfId="82" applyNumberFormat="1" applyFont="1" applyFill="1" applyBorder="1" applyAlignment="1">
      <alignment vertical="center" wrapText="1"/>
    </xf>
    <xf numFmtId="0" fontId="8" fillId="24" borderId="13" xfId="0" applyFont="1" applyFill="1" applyBorder="1"/>
    <xf numFmtId="0" fontId="11" fillId="0" borderId="0" xfId="82" applyFont="1"/>
    <xf numFmtId="0" fontId="54" fillId="0" borderId="18" xfId="0" applyFont="1" applyBorder="1"/>
    <xf numFmtId="0" fontId="51" fillId="31" borderId="22" xfId="49" applyFont="1" applyFill="1" applyBorder="1" applyAlignment="1">
      <alignment horizontal="center" vertical="center" wrapText="1"/>
    </xf>
    <xf numFmtId="0" fontId="51" fillId="31" borderId="20" xfId="49" applyFont="1" applyFill="1" applyBorder="1" applyAlignment="1">
      <alignment horizontal="center" vertical="center" wrapText="1"/>
    </xf>
    <xf numFmtId="0" fontId="9" fillId="0" borderId="31" xfId="106" applyFont="1" applyBorder="1"/>
    <xf numFmtId="0" fontId="8" fillId="0" borderId="32" xfId="106" applyFont="1" applyBorder="1" applyAlignment="1">
      <alignment horizontal="center"/>
    </xf>
    <xf numFmtId="0" fontId="8" fillId="0" borderId="30" xfId="106" applyFont="1" applyBorder="1" applyAlignment="1">
      <alignment horizontal="center"/>
    </xf>
    <xf numFmtId="0" fontId="8" fillId="0" borderId="31" xfId="106" applyFont="1" applyBorder="1" applyAlignment="1">
      <alignment horizontal="center"/>
    </xf>
    <xf numFmtId="0" fontId="8" fillId="0" borderId="33" xfId="106" applyFont="1" applyBorder="1" applyAlignment="1">
      <alignment horizontal="center"/>
    </xf>
    <xf numFmtId="0" fontId="8" fillId="26" borderId="32" xfId="106" applyFont="1" applyFill="1" applyBorder="1" applyAlignment="1">
      <alignment horizontal="center"/>
    </xf>
    <xf numFmtId="0" fontId="8" fillId="26" borderId="33" xfId="106" applyFont="1" applyFill="1" applyBorder="1" applyAlignment="1">
      <alignment horizontal="center"/>
    </xf>
    <xf numFmtId="0" fontId="9" fillId="0" borderId="33" xfId="106" applyFont="1" applyBorder="1"/>
    <xf numFmtId="0" fontId="115" fillId="0" borderId="32" xfId="106" applyFont="1" applyBorder="1" applyAlignment="1">
      <alignment horizontal="center" vertical="top" wrapText="1"/>
    </xf>
    <xf numFmtId="0" fontId="115" fillId="0" borderId="33" xfId="106" applyFont="1" applyBorder="1" applyAlignment="1">
      <alignment horizontal="center" vertical="top" wrapText="1"/>
    </xf>
    <xf numFmtId="0" fontId="8" fillId="0" borderId="34" xfId="106" applyFont="1" applyBorder="1" applyAlignment="1">
      <alignment horizontal="center"/>
    </xf>
    <xf numFmtId="0" fontId="8" fillId="0" borderId="35" xfId="106" applyFont="1" applyBorder="1" applyAlignment="1">
      <alignment horizontal="center"/>
    </xf>
    <xf numFmtId="0" fontId="8" fillId="25" borderId="26" xfId="106" applyFont="1" applyFill="1" applyBorder="1" applyAlignment="1">
      <alignment horizontal="center"/>
    </xf>
    <xf numFmtId="0" fontId="8" fillId="25" borderId="29" xfId="106" applyFont="1" applyFill="1" applyBorder="1" applyAlignment="1">
      <alignment horizontal="center"/>
    </xf>
    <xf numFmtId="0" fontId="8" fillId="25" borderId="26" xfId="106" applyFont="1" applyFill="1" applyBorder="1" applyAlignment="1">
      <alignment horizontal="center" vertical="center" wrapText="1"/>
    </xf>
    <xf numFmtId="0" fontId="8" fillId="25" borderId="29" xfId="106" applyFont="1" applyFill="1" applyBorder="1" applyAlignment="1">
      <alignment horizontal="center" vertical="center" wrapText="1"/>
    </xf>
    <xf numFmtId="0" fontId="8" fillId="25" borderId="28" xfId="106" applyFont="1" applyFill="1" applyBorder="1" applyAlignment="1">
      <alignment horizontal="center" vertical="center" wrapText="1"/>
    </xf>
    <xf numFmtId="0" fontId="8" fillId="0" borderId="19" xfId="106" applyFont="1" applyBorder="1" applyAlignment="1">
      <alignment horizontal="center"/>
    </xf>
    <xf numFmtId="0" fontId="8" fillId="0" borderId="14" xfId="106" applyFont="1" applyBorder="1" applyAlignment="1">
      <alignment horizontal="center"/>
    </xf>
    <xf numFmtId="0" fontId="115" fillId="0" borderId="14" xfId="106" applyFont="1" applyBorder="1" applyAlignment="1">
      <alignment horizontal="center" vertical="top" wrapText="1"/>
    </xf>
    <xf numFmtId="0" fontId="9" fillId="0" borderId="54" xfId="106" applyFont="1" applyBorder="1"/>
    <xf numFmtId="0" fontId="8" fillId="0" borderId="55" xfId="106" applyFont="1" applyBorder="1" applyAlignment="1">
      <alignment horizontal="center"/>
    </xf>
    <xf numFmtId="0" fontId="8" fillId="0" borderId="56" xfId="106" applyFont="1" applyBorder="1" applyAlignment="1">
      <alignment horizontal="center"/>
    </xf>
    <xf numFmtId="0" fontId="8" fillId="25" borderId="26" xfId="106" applyFont="1" applyFill="1" applyBorder="1" applyAlignment="1">
      <alignment horizontal="center" vertical="center"/>
    </xf>
    <xf numFmtId="0" fontId="8" fillId="25" borderId="26" xfId="106" applyFont="1" applyFill="1" applyBorder="1"/>
    <xf numFmtId="0" fontId="93" fillId="25" borderId="26" xfId="106" applyFont="1" applyFill="1" applyBorder="1" applyAlignment="1">
      <alignment horizontal="center"/>
    </xf>
    <xf numFmtId="0" fontId="93" fillId="25" borderId="29" xfId="106" applyFont="1" applyFill="1" applyBorder="1" applyAlignment="1">
      <alignment horizontal="center"/>
    </xf>
    <xf numFmtId="0" fontId="93" fillId="32" borderId="0" xfId="106" applyFont="1" applyFill="1"/>
    <xf numFmtId="174" fontId="93" fillId="32" borderId="0" xfId="106" applyNumberFormat="1" applyFont="1" applyFill="1"/>
    <xf numFmtId="166" fontId="9" fillId="0" borderId="0" xfId="33" applyNumberFormat="1" applyAlignment="1">
      <alignment horizontal="center"/>
    </xf>
    <xf numFmtId="165" fontId="9" fillId="0" borderId="0" xfId="0" applyNumberFormat="1" applyFont="1"/>
    <xf numFmtId="0" fontId="5" fillId="0" borderId="0" xfId="82" applyFont="1"/>
    <xf numFmtId="0" fontId="8" fillId="26" borderId="25" xfId="0" applyFont="1" applyFill="1" applyBorder="1"/>
    <xf numFmtId="0" fontId="4" fillId="0" borderId="0" xfId="82" applyFont="1"/>
    <xf numFmtId="0" fontId="75" fillId="28" borderId="0" xfId="82" applyFont="1" applyFill="1" applyAlignment="1">
      <alignment horizontal="left" vertical="top" wrapText="1"/>
    </xf>
    <xf numFmtId="0" fontId="10" fillId="28" borderId="0" xfId="82" applyFont="1" applyFill="1" applyAlignment="1">
      <alignment horizontal="justify" vertical="top" wrapText="1"/>
    </xf>
    <xf numFmtId="0" fontId="78" fillId="28" borderId="0" xfId="82" applyFont="1" applyFill="1" applyAlignment="1">
      <alignment vertical="center" wrapText="1"/>
    </xf>
    <xf numFmtId="0" fontId="10" fillId="28" borderId="0" xfId="82" applyFont="1" applyFill="1" applyAlignment="1" applyProtection="1">
      <alignment horizontal="center" vertical="top" wrapText="1"/>
      <protection locked="0"/>
    </xf>
    <xf numFmtId="0" fontId="71" fillId="28" borderId="24" xfId="82" applyFont="1" applyFill="1" applyBorder="1" applyAlignment="1" applyProtection="1">
      <alignment horizontal="center"/>
      <protection locked="0"/>
    </xf>
    <xf numFmtId="38" fontId="9" fillId="0" borderId="17" xfId="33" applyNumberFormat="1" applyBorder="1"/>
    <xf numFmtId="0" fontId="0" fillId="0" borderId="33" xfId="106" applyFont="1" applyBorder="1"/>
    <xf numFmtId="0" fontId="87" fillId="0" borderId="0" xfId="82" applyFont="1" applyAlignment="1">
      <alignment horizontal="center"/>
    </xf>
    <xf numFmtId="0" fontId="87" fillId="0" borderId="19" xfId="82" applyFont="1" applyBorder="1"/>
    <xf numFmtId="0" fontId="8" fillId="26" borderId="17" xfId="0" applyFont="1" applyFill="1" applyBorder="1" applyAlignment="1">
      <alignment horizontal="left"/>
    </xf>
    <xf numFmtId="175" fontId="8" fillId="25" borderId="29" xfId="10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0" fontId="8" fillId="33" borderId="0" xfId="81" applyNumberFormat="1" applyFont="1" applyFill="1"/>
    <xf numFmtId="176" fontId="0" fillId="0" borderId="0" xfId="33" applyNumberFormat="1" applyFont="1" applyAlignment="1">
      <alignment horizontal="right"/>
    </xf>
    <xf numFmtId="10" fontId="8" fillId="0" borderId="0" xfId="81" applyNumberFormat="1" applyFont="1"/>
    <xf numFmtId="0" fontId="52" fillId="0" borderId="0" xfId="0" applyFont="1"/>
    <xf numFmtId="0" fontId="10" fillId="0" borderId="16" xfId="0" applyFont="1" applyBorder="1"/>
    <xf numFmtId="166" fontId="11" fillId="0" borderId="12" xfId="0" applyNumberFormat="1" applyFont="1" applyBorder="1"/>
    <xf numFmtId="166" fontId="10" fillId="0" borderId="12" xfId="0" applyNumberFormat="1" applyFont="1" applyBorder="1"/>
    <xf numFmtId="166" fontId="11" fillId="25" borderId="17" xfId="0" applyNumberFormat="1" applyFont="1" applyFill="1" applyBorder="1"/>
    <xf numFmtId="0" fontId="52" fillId="30" borderId="17" xfId="0" applyFont="1" applyFill="1" applyBorder="1" applyAlignment="1">
      <alignment horizontal="center"/>
    </xf>
    <xf numFmtId="0" fontId="52" fillId="30" borderId="17" xfId="0" applyFont="1" applyFill="1" applyBorder="1"/>
    <xf numFmtId="0" fontId="52" fillId="30" borderId="17" xfId="0" applyFont="1" applyFill="1" applyBorder="1" applyAlignment="1">
      <alignment horizontal="left"/>
    </xf>
    <xf numFmtId="0" fontId="53" fillId="30" borderId="17" xfId="0" applyFont="1" applyFill="1" applyBorder="1" applyAlignment="1">
      <alignment horizontal="center"/>
    </xf>
    <xf numFmtId="0" fontId="53" fillId="30" borderId="17" xfId="0" applyFont="1" applyFill="1" applyBorder="1"/>
    <xf numFmtId="0" fontId="52" fillId="30" borderId="12" xfId="0" applyFont="1" applyFill="1" applyBorder="1" applyAlignment="1">
      <alignment horizontal="left"/>
    </xf>
    <xf numFmtId="0" fontId="53" fillId="30" borderId="12" xfId="0" applyFont="1" applyFill="1" applyBorder="1" applyAlignment="1">
      <alignment horizontal="center"/>
    </xf>
    <xf numFmtId="0" fontId="53" fillId="30" borderId="12" xfId="0" applyFont="1" applyFill="1" applyBorder="1"/>
    <xf numFmtId="0" fontId="55" fillId="30" borderId="17" xfId="0" applyFont="1" applyFill="1" applyBorder="1"/>
    <xf numFmtId="166" fontId="55" fillId="30" borderId="17" xfId="0" applyNumberFormat="1" applyFont="1" applyFill="1" applyBorder="1"/>
    <xf numFmtId="0" fontId="48" fillId="30" borderId="17" xfId="0" applyFont="1" applyFill="1" applyBorder="1" applyAlignment="1">
      <alignment horizontal="center"/>
    </xf>
    <xf numFmtId="37" fontId="56" fillId="30" borderId="17" xfId="85" applyNumberFormat="1" applyFont="1" applyFill="1" applyBorder="1" applyAlignment="1">
      <alignment horizontal="center" vertical="center"/>
    </xf>
    <xf numFmtId="37" fontId="56" fillId="30" borderId="17" xfId="85" applyNumberFormat="1" applyFont="1" applyFill="1" applyBorder="1" applyAlignment="1">
      <alignment horizontal="center" wrapText="1"/>
    </xf>
    <xf numFmtId="0" fontId="8" fillId="26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0" fillId="0" borderId="17" xfId="0" applyFont="1" applyBorder="1"/>
    <xf numFmtId="0" fontId="9" fillId="34" borderId="0" xfId="0" applyFont="1" applyFill="1"/>
    <xf numFmtId="166" fontId="8" fillId="25" borderId="17" xfId="33" applyNumberFormat="1" applyFont="1" applyFill="1" applyBorder="1"/>
    <xf numFmtId="0" fontId="0" fillId="34" borderId="13" xfId="0" applyFill="1" applyBorder="1"/>
    <xf numFmtId="166" fontId="12" fillId="34" borderId="14" xfId="33" applyNumberFormat="1" applyFont="1" applyFill="1" applyBorder="1" applyAlignment="1">
      <alignment horizontal="right"/>
    </xf>
    <xf numFmtId="166" fontId="40" fillId="34" borderId="15" xfId="33" applyNumberFormat="1" applyFont="1" applyFill="1" applyBorder="1"/>
    <xf numFmtId="0" fontId="52" fillId="34" borderId="13" xfId="0" applyFont="1" applyFill="1" applyBorder="1"/>
    <xf numFmtId="166" fontId="52" fillId="34" borderId="14" xfId="33" applyNumberFormat="1" applyFont="1" applyFill="1" applyBorder="1" applyAlignment="1">
      <alignment horizontal="center"/>
    </xf>
    <xf numFmtId="166" fontId="52" fillId="34" borderId="15" xfId="33" applyNumberFormat="1" applyFont="1" applyFill="1" applyBorder="1" applyAlignment="1">
      <alignment horizontal="center"/>
    </xf>
    <xf numFmtId="0" fontId="51" fillId="34" borderId="22" xfId="0" applyFont="1" applyFill="1" applyBorder="1"/>
    <xf numFmtId="0" fontId="51" fillId="34" borderId="23" xfId="0" applyFont="1" applyFill="1" applyBorder="1"/>
    <xf numFmtId="166" fontId="51" fillId="34" borderId="16" xfId="33" applyNumberFormat="1" applyFont="1" applyFill="1" applyBorder="1" applyAlignment="1">
      <alignment horizontal="center"/>
    </xf>
    <xf numFmtId="166" fontId="51" fillId="34" borderId="24" xfId="33" applyNumberFormat="1" applyFont="1" applyFill="1" applyBorder="1" applyAlignment="1">
      <alignment horizontal="center"/>
    </xf>
    <xf numFmtId="166" fontId="51" fillId="34" borderId="16" xfId="33" applyNumberFormat="1" applyFont="1" applyFill="1" applyBorder="1"/>
    <xf numFmtId="0" fontId="51" fillId="34" borderId="20" xfId="0" applyFont="1" applyFill="1" applyBorder="1"/>
    <xf numFmtId="0" fontId="51" fillId="34" borderId="21" xfId="0" applyFont="1" applyFill="1" applyBorder="1"/>
    <xf numFmtId="166" fontId="51" fillId="34" borderId="18" xfId="33" applyNumberFormat="1" applyFont="1" applyFill="1" applyBorder="1" applyAlignment="1">
      <alignment horizontal="center"/>
    </xf>
    <xf numFmtId="166" fontId="51" fillId="34" borderId="19" xfId="33" applyNumberFormat="1" applyFont="1" applyFill="1" applyBorder="1" applyAlignment="1">
      <alignment horizontal="center"/>
    </xf>
    <xf numFmtId="0" fontId="52" fillId="34" borderId="17" xfId="0" applyFont="1" applyFill="1" applyBorder="1" applyAlignment="1">
      <alignment horizontal="center"/>
    </xf>
    <xf numFmtId="0" fontId="52" fillId="34" borderId="17" xfId="0" applyFont="1" applyFill="1" applyBorder="1"/>
    <xf numFmtId="166" fontId="52" fillId="34" borderId="17" xfId="33" applyNumberFormat="1" applyFont="1" applyFill="1" applyBorder="1" applyAlignment="1">
      <alignment horizontal="right"/>
    </xf>
    <xf numFmtId="0" fontId="52" fillId="34" borderId="17" xfId="0" applyFont="1" applyFill="1" applyBorder="1" applyAlignment="1">
      <alignment horizontal="left"/>
    </xf>
    <xf numFmtId="0" fontId="53" fillId="34" borderId="17" xfId="0" applyFont="1" applyFill="1" applyBorder="1" applyAlignment="1">
      <alignment horizontal="center"/>
    </xf>
    <xf numFmtId="0" fontId="53" fillId="34" borderId="17" xfId="0" applyFont="1" applyFill="1" applyBorder="1"/>
    <xf numFmtId="0" fontId="52" fillId="34" borderId="12" xfId="0" applyFont="1" applyFill="1" applyBorder="1" applyAlignment="1">
      <alignment horizontal="left"/>
    </xf>
    <xf numFmtId="0" fontId="53" fillId="34" borderId="12" xfId="0" applyFont="1" applyFill="1" applyBorder="1" applyAlignment="1">
      <alignment horizontal="center"/>
    </xf>
    <xf numFmtId="0" fontId="53" fillId="34" borderId="12" xfId="0" applyFont="1" applyFill="1" applyBorder="1"/>
    <xf numFmtId="0" fontId="55" fillId="34" borderId="17" xfId="0" applyFont="1" applyFill="1" applyBorder="1"/>
    <xf numFmtId="166" fontId="55" fillId="34" borderId="17" xfId="0" applyNumberFormat="1" applyFont="1" applyFill="1" applyBorder="1"/>
    <xf numFmtId="0" fontId="55" fillId="34" borderId="13" xfId="0" applyFont="1" applyFill="1" applyBorder="1"/>
    <xf numFmtId="0" fontId="55" fillId="34" borderId="14" xfId="0" applyFont="1" applyFill="1" applyBorder="1"/>
    <xf numFmtId="0" fontId="55" fillId="34" borderId="17" xfId="0" applyFont="1" applyFill="1" applyBorder="1" applyAlignment="1">
      <alignment horizontal="center"/>
    </xf>
    <xf numFmtId="0" fontId="55" fillId="34" borderId="0" xfId="0" applyFont="1" applyFill="1" applyAlignment="1">
      <alignment horizontal="center"/>
    </xf>
    <xf numFmtId="0" fontId="0" fillId="34" borderId="14" xfId="0" applyFill="1" applyBorder="1"/>
    <xf numFmtId="166" fontId="9" fillId="34" borderId="15" xfId="33" applyNumberFormat="1" applyFill="1" applyBorder="1"/>
    <xf numFmtId="0" fontId="9" fillId="34" borderId="13" xfId="0" applyFont="1" applyFill="1" applyBorder="1"/>
    <xf numFmtId="0" fontId="9" fillId="34" borderId="14" xfId="0" applyFont="1" applyFill="1" applyBorder="1"/>
    <xf numFmtId="0" fontId="9" fillId="34" borderId="15" xfId="0" applyFont="1" applyFill="1" applyBorder="1"/>
    <xf numFmtId="166" fontId="0" fillId="34" borderId="14" xfId="33" applyNumberFormat="1" applyFont="1" applyFill="1" applyBorder="1"/>
    <xf numFmtId="0" fontId="15" fillId="34" borderId="15" xfId="0" applyFont="1" applyFill="1" applyBorder="1"/>
    <xf numFmtId="0" fontId="73" fillId="34" borderId="13" xfId="82" applyFont="1" applyFill="1" applyBorder="1" applyAlignment="1">
      <alignment horizontal="center" vertical="center"/>
    </xf>
    <xf numFmtId="0" fontId="51" fillId="34" borderId="14" xfId="49" applyFont="1" applyFill="1" applyBorder="1" applyAlignment="1">
      <alignment horizontal="center" vertical="center"/>
    </xf>
    <xf numFmtId="0" fontId="51" fillId="34" borderId="15" xfId="49" applyFont="1" applyFill="1" applyBorder="1" applyAlignment="1">
      <alignment horizontal="center" vertical="center"/>
    </xf>
    <xf numFmtId="0" fontId="51" fillId="34" borderId="24" xfId="82" applyFont="1" applyFill="1" applyBorder="1" applyAlignment="1">
      <alignment horizontal="centerContinuous"/>
    </xf>
    <xf numFmtId="0" fontId="73" fillId="34" borderId="23" xfId="82" applyFont="1" applyFill="1" applyBorder="1"/>
    <xf numFmtId="0" fontId="73" fillId="34" borderId="11" xfId="82" applyFont="1" applyFill="1" applyBorder="1"/>
    <xf numFmtId="0" fontId="80" fillId="34" borderId="13" xfId="82" applyFont="1" applyFill="1" applyBorder="1" applyAlignment="1">
      <alignment horizontal="center" vertical="center"/>
    </xf>
    <xf numFmtId="0" fontId="51" fillId="34" borderId="24" xfId="82" applyFont="1" applyFill="1" applyBorder="1" applyAlignment="1">
      <alignment horizontal="center" vertical="center" wrapText="1"/>
    </xf>
    <xf numFmtId="0" fontId="51" fillId="34" borderId="24" xfId="49" applyFont="1" applyFill="1" applyBorder="1" applyAlignment="1">
      <alignment horizontal="center" vertical="center" wrapText="1"/>
    </xf>
    <xf numFmtId="0" fontId="51" fillId="34" borderId="23" xfId="49" applyFont="1" applyFill="1" applyBorder="1" applyAlignment="1">
      <alignment horizontal="center" vertical="center" wrapText="1"/>
    </xf>
    <xf numFmtId="0" fontId="51" fillId="34" borderId="19" xfId="82" applyFont="1" applyFill="1" applyBorder="1" applyAlignment="1">
      <alignment horizontal="center" vertical="center" wrapText="1"/>
    </xf>
    <xf numFmtId="0" fontId="51" fillId="34" borderId="19" xfId="49" applyFont="1" applyFill="1" applyBorder="1" applyAlignment="1">
      <alignment horizontal="center" vertical="center" wrapText="1"/>
    </xf>
    <xf numFmtId="0" fontId="51" fillId="34" borderId="21" xfId="49" applyFont="1" applyFill="1" applyBorder="1" applyAlignment="1">
      <alignment horizontal="center" vertical="center" wrapText="1"/>
    </xf>
    <xf numFmtId="0" fontId="51" fillId="34" borderId="13" xfId="49" applyFont="1" applyFill="1" applyBorder="1" applyAlignment="1">
      <alignment horizontal="center" vertical="center" wrapText="1"/>
    </xf>
    <xf numFmtId="0" fontId="51" fillId="34" borderId="14" xfId="49" applyFont="1" applyFill="1" applyBorder="1" applyAlignment="1">
      <alignment horizontal="center" vertical="center" wrapText="1"/>
    </xf>
    <xf numFmtId="0" fontId="51" fillId="34" borderId="14" xfId="82" applyFont="1" applyFill="1" applyBorder="1" applyAlignment="1">
      <alignment horizontal="center" vertical="center" wrapText="1"/>
    </xf>
    <xf numFmtId="0" fontId="51" fillId="34" borderId="15" xfId="49" applyFont="1" applyFill="1" applyBorder="1" applyAlignment="1">
      <alignment horizontal="center" vertical="center" wrapText="1"/>
    </xf>
    <xf numFmtId="171" fontId="51" fillId="34" borderId="13" xfId="83" applyNumberFormat="1" applyFont="1" applyFill="1" applyBorder="1" applyAlignment="1">
      <alignment horizontal="center" vertical="center" wrapText="1"/>
    </xf>
    <xf numFmtId="171" fontId="51" fillId="34" borderId="14" xfId="83" applyNumberFormat="1" applyFont="1" applyFill="1" applyBorder="1" applyAlignment="1">
      <alignment horizontal="center" vertical="center" wrapText="1"/>
    </xf>
    <xf numFmtId="171" fontId="51" fillId="34" borderId="15" xfId="83" applyNumberFormat="1" applyFont="1" applyFill="1" applyBorder="1" applyAlignment="1">
      <alignment horizontal="center" vertical="center" wrapText="1"/>
    </xf>
    <xf numFmtId="0" fontId="73" fillId="34" borderId="14" xfId="82" applyFont="1" applyFill="1" applyBorder="1" applyAlignment="1">
      <alignment vertical="center"/>
    </xf>
    <xf numFmtId="0" fontId="73" fillId="34" borderId="15" xfId="82" applyFont="1" applyFill="1" applyBorder="1"/>
    <xf numFmtId="37" fontId="56" fillId="34" borderId="17" xfId="85" applyNumberFormat="1" applyFont="1" applyFill="1" applyBorder="1" applyAlignment="1">
      <alignment horizontal="center" vertical="center"/>
    </xf>
    <xf numFmtId="37" fontId="56" fillId="34" borderId="17" xfId="85" applyNumberFormat="1" applyFont="1" applyFill="1" applyBorder="1" applyAlignment="1">
      <alignment horizontal="center" wrapText="1"/>
    </xf>
    <xf numFmtId="0" fontId="56" fillId="34" borderId="17" xfId="82" applyFont="1" applyFill="1" applyBorder="1" applyAlignment="1">
      <alignment horizontal="center" vertical="center" wrapText="1"/>
    </xf>
    <xf numFmtId="174" fontId="56" fillId="34" borderId="17" xfId="83" applyNumberFormat="1" applyFont="1" applyFill="1" applyBorder="1" applyAlignment="1">
      <alignment horizontal="center" vertical="center" wrapText="1"/>
    </xf>
    <xf numFmtId="0" fontId="52" fillId="34" borderId="0" xfId="0" applyFont="1" applyFill="1"/>
    <xf numFmtId="0" fontId="53" fillId="34" borderId="0" xfId="0" applyFont="1" applyFill="1"/>
    <xf numFmtId="0" fontId="8" fillId="0" borderId="0" xfId="0" applyFont="1" applyAlignment="1">
      <alignment horizontal="left"/>
    </xf>
    <xf numFmtId="166" fontId="8" fillId="0" borderId="0" xfId="0" applyNumberFormat="1" applyFont="1"/>
    <xf numFmtId="166" fontId="52" fillId="34" borderId="17" xfId="33" applyNumberFormat="1" applyFont="1" applyFill="1" applyBorder="1" applyAlignment="1">
      <alignment horizontal="center"/>
    </xf>
    <xf numFmtId="171" fontId="51" fillId="34" borderId="14" xfId="83" applyNumberFormat="1" applyFont="1" applyFill="1" applyBorder="1" applyAlignment="1">
      <alignment horizontal="right" vertical="center"/>
    </xf>
    <xf numFmtId="171" fontId="51" fillId="34" borderId="0" xfId="83" applyNumberFormat="1" applyFont="1" applyFill="1" applyAlignment="1">
      <alignment horizontal="right"/>
    </xf>
    <xf numFmtId="0" fontId="51" fillId="34" borderId="24" xfId="82" applyFont="1" applyFill="1" applyBorder="1"/>
    <xf numFmtId="0" fontId="52" fillId="34" borderId="17" xfId="0" applyFont="1" applyFill="1" applyBorder="1" applyAlignment="1">
      <alignment horizontal="center" vertical="center"/>
    </xf>
    <xf numFmtId="167" fontId="8" fillId="26" borderId="17" xfId="47" applyNumberFormat="1" applyFont="1" applyFill="1" applyBorder="1" applyAlignment="1">
      <alignment horizontal="center" vertical="center" wrapText="1"/>
    </xf>
    <xf numFmtId="0" fontId="8" fillId="26" borderId="17" xfId="0" applyFont="1" applyFill="1" applyBorder="1" applyAlignment="1">
      <alignment horizontal="center" vertical="center" wrapText="1"/>
    </xf>
    <xf numFmtId="0" fontId="0" fillId="0" borderId="17" xfId="33" applyNumberFormat="1" applyFont="1" applyBorder="1" applyAlignment="1">
      <alignment horizontal="center" vertical="center"/>
    </xf>
    <xf numFmtId="9" fontId="0" fillId="0" borderId="17" xfId="81" applyFont="1" applyBorder="1" applyAlignment="1">
      <alignment horizontal="center" vertical="center"/>
    </xf>
    <xf numFmtId="0" fontId="0" fillId="35" borderId="0" xfId="0" applyFill="1" applyAlignment="1">
      <alignment horizontal="left" vertical="top" wrapText="1"/>
    </xf>
    <xf numFmtId="0" fontId="136" fillId="35" borderId="0" xfId="0" applyFont="1" applyFill="1" applyAlignment="1">
      <alignment horizontal="right" vertical="center" wrapText="1"/>
    </xf>
    <xf numFmtId="0" fontId="137" fillId="35" borderId="0" xfId="0" applyFont="1" applyFill="1" applyAlignment="1">
      <alignment horizontal="left" wrapText="1"/>
    </xf>
    <xf numFmtId="0" fontId="139" fillId="35" borderId="0" xfId="0" applyFont="1" applyFill="1" applyAlignment="1">
      <alignment horizontal="center" vertical="center" wrapText="1"/>
    </xf>
    <xf numFmtId="0" fontId="139" fillId="35" borderId="0" xfId="0" applyFont="1" applyFill="1" applyAlignment="1">
      <alignment horizontal="right" wrapText="1"/>
    </xf>
    <xf numFmtId="0" fontId="139" fillId="35" borderId="0" xfId="0" applyFont="1" applyFill="1" applyAlignment="1">
      <alignment horizontal="right" vertical="center" wrapText="1"/>
    </xf>
    <xf numFmtId="7" fontId="142" fillId="35" borderId="0" xfId="0" applyNumberFormat="1" applyFont="1" applyFill="1" applyAlignment="1">
      <alignment horizontal="right" wrapText="1"/>
    </xf>
    <xf numFmtId="0" fontId="143" fillId="35" borderId="0" xfId="0" applyFont="1" applyFill="1" applyAlignment="1">
      <alignment horizontal="left" vertical="top" wrapText="1"/>
    </xf>
    <xf numFmtId="7" fontId="144" fillId="35" borderId="0" xfId="0" applyNumberFormat="1" applyFont="1" applyFill="1" applyAlignment="1">
      <alignment horizontal="right" wrapText="1"/>
    </xf>
    <xf numFmtId="7" fontId="145" fillId="35" borderId="0" xfId="0" applyNumberFormat="1" applyFont="1" applyFill="1" applyAlignment="1">
      <alignment horizontal="right" wrapText="1"/>
    </xf>
    <xf numFmtId="0" fontId="144" fillId="35" borderId="0" xfId="0" applyFont="1" applyFill="1" applyAlignment="1">
      <alignment horizontal="left" vertical="top" wrapText="1"/>
    </xf>
    <xf numFmtId="7" fontId="146" fillId="35" borderId="0" xfId="0" applyNumberFormat="1" applyFont="1" applyFill="1" applyAlignment="1">
      <alignment horizontal="right" wrapText="1"/>
    </xf>
    <xf numFmtId="165" fontId="8" fillId="0" borderId="0" xfId="33" applyFont="1" applyAlignment="1">
      <alignment horizontal="center"/>
    </xf>
    <xf numFmtId="165" fontId="0" fillId="0" borderId="17" xfId="33" applyFont="1" applyBorder="1"/>
    <xf numFmtId="17" fontId="9" fillId="0" borderId="0" xfId="0" applyNumberFormat="1" applyFont="1"/>
    <xf numFmtId="165" fontId="8" fillId="0" borderId="0" xfId="0" applyNumberFormat="1" applyFont="1"/>
    <xf numFmtId="3" fontId="86" fillId="28" borderId="0" xfId="82" applyNumberFormat="1" applyFont="1" applyFill="1" applyAlignment="1">
      <alignment horizontal="center"/>
    </xf>
    <xf numFmtId="0" fontId="145" fillId="35" borderId="0" xfId="0" applyFont="1" applyFill="1" applyAlignment="1">
      <alignment horizontal="left" wrapText="1"/>
    </xf>
    <xf numFmtId="0" fontId="155" fillId="0" borderId="0" xfId="131" applyFont="1"/>
    <xf numFmtId="0" fontId="156" fillId="0" borderId="0" xfId="131" applyFont="1" applyAlignment="1">
      <alignment horizontal="centerContinuous" wrapText="1"/>
    </xf>
    <xf numFmtId="0" fontId="157" fillId="0" borderId="0" xfId="131" applyFont="1" applyAlignment="1">
      <alignment horizontal="centerContinuous" wrapText="1"/>
    </xf>
    <xf numFmtId="177" fontId="157" fillId="0" borderId="0" xfId="131" applyNumberFormat="1" applyFont="1" applyAlignment="1">
      <alignment horizontal="centerContinuous" wrapText="1"/>
    </xf>
    <xf numFmtId="0" fontId="158" fillId="0" borderId="0" xfId="131" applyFont="1"/>
    <xf numFmtId="0" fontId="160" fillId="0" borderId="0" xfId="131" applyFont="1" applyAlignment="1">
      <alignment horizontal="center"/>
    </xf>
    <xf numFmtId="177" fontId="157" fillId="0" borderId="0" xfId="131" applyNumberFormat="1" applyFont="1" applyAlignment="1">
      <alignment horizontal="center"/>
    </xf>
    <xf numFmtId="0" fontId="157" fillId="0" borderId="0" xfId="131" applyFont="1" applyAlignment="1">
      <alignment horizontal="center"/>
    </xf>
    <xf numFmtId="0" fontId="159" fillId="0" borderId="0" xfId="131" applyFont="1" applyAlignment="1">
      <alignment horizontal="center" vertical="center" wrapText="1"/>
    </xf>
    <xf numFmtId="0" fontId="159" fillId="0" borderId="0" xfId="131" applyFont="1" applyAlignment="1">
      <alignment vertical="center" wrapText="1"/>
    </xf>
    <xf numFmtId="177" fontId="158" fillId="0" borderId="0" xfId="131" applyNumberFormat="1" applyFont="1"/>
    <xf numFmtId="4" fontId="158" fillId="0" borderId="0" xfId="131" applyNumberFormat="1" applyFont="1"/>
    <xf numFmtId="0" fontId="157" fillId="0" borderId="0" xfId="131" applyFont="1"/>
    <xf numFmtId="0" fontId="158" fillId="0" borderId="0" xfId="131" applyFont="1" applyAlignment="1">
      <alignment wrapText="1"/>
    </xf>
    <xf numFmtId="0" fontId="161" fillId="0" borderId="0" xfId="131" applyFont="1"/>
    <xf numFmtId="177" fontId="161" fillId="0" borderId="0" xfId="131" applyNumberFormat="1" applyFont="1"/>
    <xf numFmtId="4" fontId="161" fillId="0" borderId="0" xfId="131" applyNumberFormat="1" applyFont="1"/>
    <xf numFmtId="177" fontId="158" fillId="0" borderId="19" xfId="131" applyNumberFormat="1" applyFont="1" applyBorder="1"/>
    <xf numFmtId="177" fontId="157" fillId="0" borderId="0" xfId="131" applyNumberFormat="1" applyFont="1"/>
    <xf numFmtId="4" fontId="157" fillId="0" borderId="0" xfId="131" applyNumberFormat="1" applyFont="1"/>
    <xf numFmtId="177" fontId="157" fillId="0" borderId="24" xfId="131" applyNumberFormat="1" applyFont="1" applyBorder="1"/>
    <xf numFmtId="0" fontId="154" fillId="0" borderId="0" xfId="131" applyFont="1" applyAlignment="1">
      <alignment vertical="center"/>
    </xf>
    <xf numFmtId="0" fontId="162" fillId="0" borderId="0" xfId="131" applyFont="1" applyAlignment="1">
      <alignment horizontal="center" vertical="center"/>
    </xf>
    <xf numFmtId="4" fontId="163" fillId="36" borderId="58" xfId="131" applyNumberFormat="1" applyFont="1" applyFill="1" applyBorder="1" applyAlignment="1">
      <alignment vertical="center"/>
    </xf>
    <xf numFmtId="0" fontId="157" fillId="0" borderId="0" xfId="131" applyFont="1" applyAlignment="1">
      <alignment vertical="center"/>
    </xf>
    <xf numFmtId="4" fontId="162" fillId="0" borderId="0" xfId="131" applyNumberFormat="1" applyFont="1" applyAlignment="1">
      <alignment vertical="center"/>
    </xf>
    <xf numFmtId="0" fontId="157" fillId="0" borderId="0" xfId="131" applyFont="1" applyAlignment="1">
      <alignment horizontal="center" vertical="center"/>
    </xf>
    <xf numFmtId="0" fontId="164" fillId="0" borderId="0" xfId="131" applyFont="1" applyAlignment="1">
      <alignment horizontal="center"/>
    </xf>
    <xf numFmtId="0" fontId="158" fillId="0" borderId="0" xfId="131" applyFont="1" applyAlignment="1">
      <alignment horizontal="left"/>
    </xf>
    <xf numFmtId="4" fontId="164" fillId="0" borderId="0" xfId="131" applyNumberFormat="1" applyFont="1"/>
    <xf numFmtId="0" fontId="165" fillId="0" borderId="0" xfId="131" applyFont="1"/>
    <xf numFmtId="177" fontId="165" fillId="0" borderId="0" xfId="131" applyNumberFormat="1" applyFont="1"/>
    <xf numFmtId="177" fontId="165" fillId="0" borderId="19" xfId="131" applyNumberFormat="1" applyFont="1" applyBorder="1"/>
    <xf numFmtId="0" fontId="166" fillId="0" borderId="0" xfId="131" applyFont="1"/>
    <xf numFmtId="177" fontId="166" fillId="0" borderId="58" xfId="131" applyNumberFormat="1" applyFont="1" applyBorder="1"/>
    <xf numFmtId="0" fontId="167" fillId="0" borderId="0" xfId="131" applyFont="1" applyAlignment="1">
      <alignment vertical="center"/>
    </xf>
    <xf numFmtId="177" fontId="166" fillId="0" borderId="0" xfId="131" applyNumberFormat="1" applyFont="1"/>
    <xf numFmtId="4" fontId="165" fillId="0" borderId="0" xfId="131" applyNumberFormat="1" applyFont="1"/>
    <xf numFmtId="0" fontId="8" fillId="32" borderId="0" xfId="0" applyFont="1" applyFill="1"/>
    <xf numFmtId="0" fontId="36" fillId="32" borderId="0" xfId="0" applyFont="1" applyFill="1"/>
    <xf numFmtId="0" fontId="12" fillId="0" borderId="17" xfId="0" applyFont="1" applyBorder="1" applyAlignment="1">
      <alignment horizontal="left"/>
    </xf>
    <xf numFmtId="178" fontId="9" fillId="0" borderId="0" xfId="0" applyNumberFormat="1" applyFont="1"/>
    <xf numFmtId="10" fontId="0" fillId="0" borderId="17" xfId="81" applyNumberFormat="1" applyFont="1" applyBorder="1" applyAlignment="1">
      <alignment horizontal="center" vertical="center"/>
    </xf>
    <xf numFmtId="0" fontId="97" fillId="0" borderId="0" xfId="82" applyFont="1" applyFill="1"/>
    <xf numFmtId="0" fontId="0" fillId="0" borderId="0" xfId="0" applyFill="1"/>
    <xf numFmtId="165" fontId="9" fillId="0" borderId="0" xfId="33" applyFont="1"/>
    <xf numFmtId="165" fontId="13" fillId="0" borderId="0" xfId="33" applyFont="1"/>
    <xf numFmtId="165" fontId="12" fillId="0" borderId="0" xfId="33" applyFont="1"/>
    <xf numFmtId="0" fontId="8" fillId="0" borderId="0" xfId="106" applyFont="1" applyAlignment="1">
      <alignment horizontal="center"/>
    </xf>
    <xf numFmtId="0" fontId="93" fillId="0" borderId="0" xfId="106" applyFont="1" applyAlignment="1">
      <alignment horizontal="center"/>
    </xf>
    <xf numFmtId="0" fontId="153" fillId="0" borderId="0" xfId="131"/>
    <xf numFmtId="0" fontId="6" fillId="0" borderId="30" xfId="106" applyBorder="1"/>
    <xf numFmtId="0" fontId="8" fillId="0" borderId="21" xfId="106" applyFont="1" applyBorder="1" applyAlignment="1">
      <alignment horizontal="center"/>
    </xf>
    <xf numFmtId="0" fontId="8" fillId="0" borderId="18" xfId="106" applyFont="1" applyBorder="1" applyAlignment="1">
      <alignment horizontal="center"/>
    </xf>
    <xf numFmtId="0" fontId="9" fillId="0" borderId="30" xfId="106" applyFont="1" applyBorder="1"/>
    <xf numFmtId="0" fontId="8" fillId="0" borderId="59" xfId="106" applyFont="1" applyBorder="1" applyAlignment="1">
      <alignment horizontal="center"/>
    </xf>
    <xf numFmtId="0" fontId="6" fillId="0" borderId="32" xfId="106" applyBorder="1"/>
    <xf numFmtId="0" fontId="8" fillId="0" borderId="60" xfId="106" applyFont="1" applyBorder="1" applyAlignment="1">
      <alignment horizontal="center"/>
    </xf>
    <xf numFmtId="0" fontId="9" fillId="0" borderId="32" xfId="106" applyFont="1" applyBorder="1"/>
    <xf numFmtId="175" fontId="8" fillId="0" borderId="60" xfId="106" applyNumberFormat="1" applyFont="1" applyBorder="1" applyAlignment="1">
      <alignment horizontal="center" vertical="center" wrapText="1"/>
    </xf>
    <xf numFmtId="175" fontId="8" fillId="0" borderId="33" xfId="106" applyNumberFormat="1" applyFont="1" applyBorder="1" applyAlignment="1">
      <alignment horizontal="center" vertical="center" wrapText="1"/>
    </xf>
    <xf numFmtId="0" fontId="0" fillId="0" borderId="32" xfId="106" applyFont="1" applyBorder="1"/>
    <xf numFmtId="0" fontId="8" fillId="26" borderId="60" xfId="106" applyFont="1" applyFill="1" applyBorder="1" applyAlignment="1">
      <alignment horizontal="center"/>
    </xf>
    <xf numFmtId="0" fontId="115" fillId="0" borderId="60" xfId="106" applyFont="1" applyBorder="1" applyAlignment="1">
      <alignment horizontal="center" vertical="top" wrapText="1"/>
    </xf>
    <xf numFmtId="0" fontId="6" fillId="0" borderId="34" xfId="106" applyBorder="1"/>
    <xf numFmtId="0" fontId="8" fillId="0" borderId="61" xfId="106" applyFont="1" applyBorder="1" applyAlignment="1">
      <alignment horizontal="center"/>
    </xf>
    <xf numFmtId="174" fontId="8" fillId="25" borderId="27" xfId="107" applyNumberFormat="1" applyFont="1" applyFill="1" applyBorder="1" applyAlignment="1">
      <alignment horizontal="center"/>
    </xf>
    <xf numFmtId="174" fontId="8" fillId="0" borderId="0" xfId="107" applyNumberFormat="1" applyFont="1" applyAlignment="1">
      <alignment horizontal="center"/>
    </xf>
    <xf numFmtId="0" fontId="6" fillId="0" borderId="0" xfId="106"/>
    <xf numFmtId="0" fontId="6" fillId="0" borderId="31" xfId="106" applyBorder="1"/>
    <xf numFmtId="0" fontId="6" fillId="0" borderId="30" xfId="106" applyBorder="1" applyAlignment="1">
      <alignment horizontal="center"/>
    </xf>
    <xf numFmtId="0" fontId="6" fillId="0" borderId="33" xfId="106" applyBorder="1"/>
    <xf numFmtId="0" fontId="0" fillId="0" borderId="32" xfId="106" applyFont="1" applyBorder="1" applyAlignment="1">
      <alignment horizontal="center"/>
    </xf>
    <xf numFmtId="0" fontId="6" fillId="0" borderId="32" xfId="106" applyBorder="1" applyAlignment="1">
      <alignment horizontal="center"/>
    </xf>
    <xf numFmtId="0" fontId="6" fillId="0" borderId="54" xfId="106" applyBorder="1"/>
    <xf numFmtId="0" fontId="6" fillId="0" borderId="55" xfId="106" applyBorder="1" applyAlignment="1">
      <alignment horizontal="center"/>
    </xf>
    <xf numFmtId="0" fontId="6" fillId="0" borderId="35" xfId="106" applyBorder="1"/>
    <xf numFmtId="0" fontId="6" fillId="0" borderId="34" xfId="106" applyBorder="1" applyAlignment="1">
      <alignment horizontal="center"/>
    </xf>
    <xf numFmtId="17" fontId="8" fillId="0" borderId="0" xfId="0" applyNumberFormat="1" applyFont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4" fontId="8" fillId="26" borderId="29" xfId="0" applyNumberFormat="1" applyFont="1" applyFill="1" applyBorder="1"/>
    <xf numFmtId="4" fontId="9" fillId="0" borderId="0" xfId="0" applyNumberFormat="1" applyFont="1"/>
    <xf numFmtId="0" fontId="176" fillId="0" borderId="0" xfId="0" applyFont="1"/>
    <xf numFmtId="4" fontId="176" fillId="26" borderId="29" xfId="0" applyNumberFormat="1" applyFont="1" applyFill="1" applyBorder="1"/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/>
    <xf numFmtId="166" fontId="9" fillId="0" borderId="17" xfId="33" applyNumberFormat="1" applyFill="1" applyBorder="1"/>
    <xf numFmtId="166" fontId="9" fillId="0" borderId="17" xfId="33" applyNumberFormat="1" applyFont="1" applyFill="1" applyBorder="1"/>
    <xf numFmtId="0" fontId="9" fillId="0" borderId="0" xfId="0" applyFont="1" applyFill="1"/>
    <xf numFmtId="0" fontId="11" fillId="0" borderId="0" xfId="82" applyFont="1" applyFill="1"/>
    <xf numFmtId="166" fontId="9" fillId="0" borderId="12" xfId="33" applyNumberFormat="1" applyFont="1" applyBorder="1"/>
    <xf numFmtId="0" fontId="9" fillId="37" borderId="17" xfId="0" applyFont="1" applyFill="1" applyBorder="1"/>
    <xf numFmtId="166" fontId="9" fillId="0" borderId="17" xfId="33" applyNumberFormat="1" applyFont="1" applyBorder="1"/>
    <xf numFmtId="165" fontId="0" fillId="0" borderId="0" xfId="33" applyFont="1" applyFill="1"/>
    <xf numFmtId="0" fontId="75" fillId="28" borderId="0" xfId="82" applyFont="1" applyFill="1" applyAlignment="1">
      <alignment horizontal="left" vertical="top" wrapText="1"/>
    </xf>
    <xf numFmtId="166" fontId="0" fillId="0" borderId="0" xfId="33" applyNumberFormat="1" applyFont="1" applyFill="1"/>
    <xf numFmtId="166" fontId="0" fillId="0" borderId="0" xfId="33" applyNumberFormat="1" applyFont="1" applyFill="1" applyAlignment="1">
      <alignment horizontal="right"/>
    </xf>
    <xf numFmtId="0" fontId="94" fillId="0" borderId="0" xfId="82" applyFont="1" applyFill="1"/>
    <xf numFmtId="14" fontId="0" fillId="0" borderId="0" xfId="0" applyNumberFormat="1"/>
    <xf numFmtId="4" fontId="175" fillId="26" borderId="29" xfId="0" applyNumberFormat="1" applyFont="1" applyFill="1" applyBorder="1"/>
    <xf numFmtId="0" fontId="11" fillId="0" borderId="36" xfId="0" applyFont="1" applyBorder="1" applyAlignment="1">
      <alignment vertical="center" wrapText="1"/>
    </xf>
    <xf numFmtId="4" fontId="11" fillId="0" borderId="0" xfId="33" applyNumberFormat="1" applyFont="1" applyFill="1" applyBorder="1" applyAlignment="1">
      <alignment horizontal="right" vertical="center" wrapText="1"/>
    </xf>
    <xf numFmtId="4" fontId="11" fillId="0" borderId="45" xfId="33" applyNumberFormat="1" applyFont="1" applyFill="1" applyBorder="1" applyAlignment="1">
      <alignment horizontal="right" vertical="center" wrapText="1"/>
    </xf>
    <xf numFmtId="4" fontId="10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0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1" fillId="0" borderId="36" xfId="0" applyFont="1" applyBorder="1" applyAlignment="1">
      <alignment vertical="center"/>
    </xf>
    <xf numFmtId="4" fontId="10" fillId="0" borderId="0" xfId="33" applyNumberFormat="1" applyFont="1" applyFill="1" applyBorder="1" applyAlignment="1">
      <alignment horizontal="right" vertical="center" wrapText="1"/>
    </xf>
    <xf numFmtId="4" fontId="10" fillId="0" borderId="45" xfId="33" applyNumberFormat="1" applyFont="1" applyFill="1" applyBorder="1" applyAlignment="1">
      <alignment horizontal="right" vertical="center" wrapText="1"/>
    </xf>
    <xf numFmtId="0" fontId="11" fillId="0" borderId="42" xfId="0" applyFont="1" applyFill="1" applyBorder="1" applyAlignment="1">
      <alignment horizontal="justify" vertical="center" wrapText="1"/>
    </xf>
    <xf numFmtId="0" fontId="11" fillId="0" borderId="43" xfId="0" applyFont="1" applyFill="1" applyBorder="1" applyAlignment="1">
      <alignment horizontal="justify" vertical="center" wrapText="1"/>
    </xf>
    <xf numFmtId="49" fontId="178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178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45" xfId="0" applyFont="1" applyFill="1" applyBorder="1"/>
    <xf numFmtId="0" fontId="10" fillId="0" borderId="46" xfId="0" applyFont="1" applyFill="1" applyBorder="1" applyAlignment="1">
      <alignment horizontal="justify" vertical="center" wrapText="1"/>
    </xf>
    <xf numFmtId="0" fontId="10" fillId="0" borderId="47" xfId="0" applyFont="1" applyFill="1" applyBorder="1" applyAlignment="1">
      <alignment horizontal="justify" vertical="center" wrapText="1"/>
    </xf>
    <xf numFmtId="4" fontId="10" fillId="0" borderId="47" xfId="0" applyNumberFormat="1" applyFont="1" applyFill="1" applyBorder="1" applyAlignment="1">
      <alignment horizontal="right" vertical="center" wrapText="1"/>
    </xf>
    <xf numFmtId="4" fontId="10" fillId="0" borderId="48" xfId="0" applyNumberFormat="1" applyFont="1" applyFill="1" applyBorder="1" applyAlignment="1">
      <alignment horizontal="right" vertical="center" wrapText="1"/>
    </xf>
    <xf numFmtId="0" fontId="179" fillId="0" borderId="0" xfId="0" applyFont="1" applyAlignment="1">
      <alignment vertical="center"/>
    </xf>
    <xf numFmtId="0" fontId="179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45" xfId="0" applyFont="1" applyBorder="1" applyAlignment="1">
      <alignment horizontal="right" vertical="center" wrapText="1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9" fillId="0" borderId="36" xfId="0" applyFont="1" applyBorder="1" applyAlignment="1">
      <alignment vertical="center" wrapText="1"/>
    </xf>
    <xf numFmtId="4" fontId="10" fillId="0" borderId="0" xfId="33" applyNumberFormat="1" applyFont="1" applyFill="1" applyBorder="1" applyAlignment="1" applyProtection="1">
      <alignment horizontal="right" vertical="center" wrapText="1"/>
    </xf>
    <xf numFmtId="4" fontId="10" fillId="0" borderId="45" xfId="0" applyNumberFormat="1" applyFont="1" applyBorder="1" applyAlignment="1">
      <alignment horizontal="right" vertical="center" wrapText="1"/>
    </xf>
    <xf numFmtId="4" fontId="10" fillId="0" borderId="45" xfId="33" applyNumberFormat="1" applyFont="1" applyFill="1" applyBorder="1" applyAlignment="1" applyProtection="1">
      <alignment horizontal="right" vertical="center" wrapText="1"/>
    </xf>
    <xf numFmtId="4" fontId="79" fillId="0" borderId="45" xfId="0" applyNumberFormat="1" applyFont="1" applyBorder="1" applyAlignment="1">
      <alignment horizontal="right" vertical="center" wrapText="1"/>
    </xf>
    <xf numFmtId="4" fontId="11" fillId="0" borderId="45" xfId="0" applyNumberFormat="1" applyFont="1" applyBorder="1" applyAlignment="1">
      <alignment horizontal="right" vertical="center" wrapText="1"/>
    </xf>
    <xf numFmtId="4" fontId="10" fillId="0" borderId="45" xfId="0" applyNumberFormat="1" applyFont="1" applyBorder="1" applyAlignment="1" applyProtection="1">
      <alignment horizontal="right" vertical="center" wrapText="1"/>
      <protection locked="0"/>
    </xf>
    <xf numFmtId="0" fontId="179" fillId="0" borderId="36" xfId="0" applyFont="1" applyBorder="1" applyAlignment="1">
      <alignment vertical="center"/>
    </xf>
    <xf numFmtId="4" fontId="75" fillId="0" borderId="45" xfId="0" applyNumberFormat="1" applyFont="1" applyBorder="1" applyAlignment="1">
      <alignment horizontal="right" vertical="center" wrapText="1"/>
    </xf>
    <xf numFmtId="0" fontId="75" fillId="0" borderId="36" xfId="0" applyFont="1" applyBorder="1" applyAlignment="1">
      <alignment vertical="center" wrapText="1"/>
    </xf>
    <xf numFmtId="165" fontId="75" fillId="0" borderId="0" xfId="33" applyFont="1" applyFill="1" applyBorder="1" applyAlignment="1">
      <alignment horizontal="right" vertical="center" wrapText="1"/>
    </xf>
    <xf numFmtId="4" fontId="11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1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80" fillId="0" borderId="0" xfId="0" applyFont="1" applyAlignment="1">
      <alignment horizontal="right" vertical="center"/>
    </xf>
    <xf numFmtId="0" fontId="11" fillId="0" borderId="47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42" xfId="0" applyFont="1" applyBorder="1" applyAlignment="1">
      <alignment horizontal="justify" vertical="center" wrapText="1"/>
    </xf>
    <xf numFmtId="49" fontId="178" fillId="0" borderId="43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justify" vertical="center" wrapText="1"/>
    </xf>
    <xf numFmtId="49" fontId="178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justify" vertical="center" wrapText="1"/>
    </xf>
    <xf numFmtId="4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79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79" fillId="0" borderId="0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75" fillId="0" borderId="0" xfId="0" applyFont="1" applyBorder="1" applyAlignment="1">
      <alignment vertical="center" wrapText="1"/>
    </xf>
    <xf numFmtId="4" fontId="75" fillId="0" borderId="0" xfId="0" applyNumberFormat="1" applyFont="1" applyBorder="1" applyAlignment="1">
      <alignment horizontal="right" vertical="center" wrapText="1"/>
    </xf>
    <xf numFmtId="43" fontId="63" fillId="0" borderId="0" xfId="0" applyNumberFormat="1" applyFont="1" applyBorder="1" applyAlignment="1">
      <alignment horizontal="justify" vertical="center" wrapText="1"/>
    </xf>
    <xf numFmtId="0" fontId="179" fillId="0" borderId="0" xfId="0" applyFont="1"/>
    <xf numFmtId="0" fontId="180" fillId="0" borderId="0" xfId="0" applyFont="1"/>
    <xf numFmtId="0" fontId="11" fillId="39" borderId="13" xfId="0" applyFont="1" applyFill="1" applyBorder="1" applyAlignment="1">
      <alignment horizontal="center" vertical="center" wrapText="1"/>
    </xf>
    <xf numFmtId="0" fontId="11" fillId="39" borderId="17" xfId="0" applyFont="1" applyFill="1" applyBorder="1" applyAlignment="1">
      <alignment horizontal="center" vertical="center" wrapText="1"/>
    </xf>
    <xf numFmtId="0" fontId="11" fillId="39" borderId="1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170" fontId="10" fillId="0" borderId="20" xfId="33" applyNumberFormat="1" applyFont="1" applyFill="1" applyBorder="1" applyAlignment="1" applyProtection="1">
      <alignment vertical="center" wrapText="1"/>
    </xf>
    <xf numFmtId="170" fontId="10" fillId="0" borderId="18" xfId="33" applyNumberFormat="1" applyFont="1" applyFill="1" applyBorder="1" applyAlignment="1" applyProtection="1">
      <alignment vertical="center" wrapText="1"/>
    </xf>
    <xf numFmtId="170" fontId="10" fillId="0" borderId="21" xfId="33" applyNumberFormat="1" applyFont="1" applyFill="1" applyBorder="1" applyAlignment="1" applyProtection="1">
      <alignment vertical="center" wrapText="1"/>
    </xf>
    <xf numFmtId="0" fontId="11" fillId="0" borderId="13" xfId="0" applyFont="1" applyBorder="1" applyAlignment="1">
      <alignment vertical="center" wrapText="1"/>
    </xf>
    <xf numFmtId="170" fontId="11" fillId="0" borderId="13" xfId="33" applyNumberFormat="1" applyFont="1" applyFill="1" applyBorder="1" applyAlignment="1" applyProtection="1">
      <alignment vertical="center" wrapText="1"/>
    </xf>
    <xf numFmtId="170" fontId="11" fillId="40" borderId="13" xfId="33" applyNumberFormat="1" applyFont="1" applyFill="1" applyBorder="1" applyAlignment="1" applyProtection="1">
      <alignment vertical="center" wrapText="1"/>
    </xf>
    <xf numFmtId="170" fontId="11" fillId="40" borderId="17" xfId="33" applyNumberFormat="1" applyFont="1" applyFill="1" applyBorder="1" applyAlignment="1" applyProtection="1">
      <alignment vertical="center" wrapText="1"/>
    </xf>
    <xf numFmtId="170" fontId="11" fillId="40" borderId="15" xfId="33" applyNumberFormat="1" applyFont="1" applyFill="1" applyBorder="1" applyAlignment="1" applyProtection="1">
      <alignment vertical="center" wrapText="1"/>
    </xf>
    <xf numFmtId="170" fontId="11" fillId="0" borderId="15" xfId="33" applyNumberFormat="1" applyFont="1" applyFill="1" applyBorder="1" applyAlignment="1" applyProtection="1">
      <alignment vertical="center" wrapText="1"/>
    </xf>
    <xf numFmtId="0" fontId="10" fillId="0" borderId="13" xfId="0" applyFont="1" applyBorder="1" applyAlignment="1">
      <alignment vertical="center" wrapText="1"/>
    </xf>
    <xf numFmtId="170" fontId="10" fillId="0" borderId="13" xfId="33" applyNumberFormat="1" applyFont="1" applyFill="1" applyBorder="1" applyAlignment="1" applyProtection="1">
      <alignment vertical="center" wrapText="1"/>
      <protection locked="0"/>
    </xf>
    <xf numFmtId="170" fontId="10" fillId="40" borderId="13" xfId="33" applyNumberFormat="1" applyFont="1" applyFill="1" applyBorder="1" applyAlignment="1" applyProtection="1">
      <alignment vertical="center" wrapText="1"/>
    </xf>
    <xf numFmtId="170" fontId="10" fillId="40" borderId="17" xfId="33" applyNumberFormat="1" applyFont="1" applyFill="1" applyBorder="1" applyAlignment="1" applyProtection="1">
      <alignment vertical="center" wrapText="1"/>
    </xf>
    <xf numFmtId="170" fontId="10" fillId="40" borderId="15" xfId="33" applyNumberFormat="1" applyFont="1" applyFill="1" applyBorder="1" applyAlignment="1" applyProtection="1">
      <alignment vertical="center" wrapText="1"/>
    </xf>
    <xf numFmtId="170" fontId="10" fillId="0" borderId="15" xfId="33" applyNumberFormat="1" applyFont="1" applyFill="1" applyBorder="1" applyAlignment="1" applyProtection="1">
      <alignment vertical="center" wrapText="1"/>
    </xf>
    <xf numFmtId="170" fontId="10" fillId="0" borderId="13" xfId="33" applyNumberFormat="1" applyFont="1" applyFill="1" applyBorder="1" applyAlignment="1" applyProtection="1">
      <alignment vertical="center" wrapText="1"/>
    </xf>
    <xf numFmtId="170" fontId="10" fillId="0" borderId="17" xfId="33" applyNumberFormat="1" applyFont="1" applyFill="1" applyBorder="1" applyAlignment="1" applyProtection="1">
      <alignment vertical="center" wrapText="1"/>
    </xf>
    <xf numFmtId="170" fontId="11" fillId="0" borderId="17" xfId="33" applyNumberFormat="1" applyFont="1" applyFill="1" applyBorder="1" applyAlignment="1" applyProtection="1">
      <alignment vertical="center" wrapText="1"/>
    </xf>
    <xf numFmtId="170" fontId="10" fillId="0" borderId="17" xfId="33" applyNumberFormat="1" applyFont="1" applyFill="1" applyBorder="1" applyAlignment="1" applyProtection="1">
      <alignment vertical="center" wrapText="1"/>
      <protection locked="0"/>
    </xf>
    <xf numFmtId="170" fontId="10" fillId="0" borderId="15" xfId="33" applyNumberFormat="1" applyFont="1" applyFill="1" applyBorder="1" applyAlignment="1" applyProtection="1">
      <alignment vertical="center" wrapText="1"/>
      <protection locked="0"/>
    </xf>
    <xf numFmtId="0" fontId="182" fillId="0" borderId="0" xfId="0" applyFont="1"/>
    <xf numFmtId="0" fontId="10" fillId="0" borderId="0" xfId="49" applyFont="1" applyAlignment="1">
      <alignment horizontal="left" indent="1"/>
    </xf>
    <xf numFmtId="4" fontId="10" fillId="0" borderId="0" xfId="49" applyNumberFormat="1" applyFont="1" applyAlignment="1">
      <alignment horizontal="right" vertical="center"/>
    </xf>
    <xf numFmtId="0" fontId="10" fillId="0" borderId="0" xfId="49" applyFont="1"/>
    <xf numFmtId="0" fontId="11" fillId="0" borderId="0" xfId="49" applyFont="1" applyAlignment="1">
      <alignment horizontal="right"/>
    </xf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36" xfId="49" applyFont="1" applyBorder="1" applyAlignment="1">
      <alignment horizontal="left" vertical="center" indent="1"/>
    </xf>
    <xf numFmtId="4" fontId="11" fillId="0" borderId="0" xfId="49" applyNumberFormat="1" applyFont="1" applyAlignment="1">
      <alignment horizontal="center" vertical="center" wrapText="1"/>
    </xf>
    <xf numFmtId="4" fontId="11" fillId="0" borderId="45" xfId="49" applyNumberFormat="1" applyFont="1" applyBorder="1" applyAlignment="1">
      <alignment horizontal="center" vertical="center" wrapText="1"/>
    </xf>
    <xf numFmtId="43" fontId="11" fillId="0" borderId="0" xfId="49" applyNumberFormat="1" applyFont="1" applyAlignment="1">
      <alignment horizontal="left" vertical="center" wrapText="1"/>
    </xf>
    <xf numFmtId="0" fontId="11" fillId="0" borderId="0" xfId="49" applyFont="1" applyAlignment="1">
      <alignment horizontal="left" vertical="center"/>
    </xf>
    <xf numFmtId="4" fontId="11" fillId="0" borderId="0" xfId="49" applyNumberFormat="1" applyFont="1" applyAlignment="1">
      <alignment horizontal="right" vertical="center" wrapText="1"/>
    </xf>
    <xf numFmtId="4" fontId="11" fillId="0" borderId="45" xfId="49" applyNumberFormat="1" applyFont="1" applyBorder="1" applyAlignment="1">
      <alignment horizontal="right" vertical="center" wrapText="1"/>
    </xf>
    <xf numFmtId="0" fontId="75" fillId="0" borderId="36" xfId="49" applyFont="1" applyBorder="1" applyAlignment="1">
      <alignment horizontal="left" vertical="center" indent="2"/>
    </xf>
    <xf numFmtId="43" fontId="11" fillId="0" borderId="0" xfId="37" applyFont="1" applyFill="1" applyBorder="1" applyAlignment="1">
      <alignment horizontal="left" vertical="center" wrapText="1"/>
    </xf>
    <xf numFmtId="0" fontId="10" fillId="0" borderId="36" xfId="49" applyFont="1" applyBorder="1" applyAlignment="1">
      <alignment horizontal="left" vertical="center" indent="3"/>
    </xf>
    <xf numFmtId="4" fontId="10" fillId="0" borderId="0" xfId="37" applyNumberFormat="1" applyFont="1" applyFill="1" applyBorder="1" applyAlignment="1" applyProtection="1">
      <alignment horizontal="right" vertical="center" wrapText="1"/>
      <protection locked="0"/>
    </xf>
    <xf numFmtId="4" fontId="10" fillId="0" borderId="45" xfId="37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37" applyFont="1" applyFill="1" applyBorder="1" applyAlignment="1">
      <alignment horizontal="left" vertical="center" wrapText="1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0" fillId="0" borderId="36" xfId="49" applyFont="1" applyBorder="1" applyAlignment="1">
      <alignment horizontal="left" vertical="top" indent="3"/>
    </xf>
    <xf numFmtId="0" fontId="11" fillId="0" borderId="36" xfId="49" applyFont="1" applyBorder="1" applyAlignment="1">
      <alignment horizontal="left" vertical="top" indent="2"/>
    </xf>
    <xf numFmtId="4" fontId="10" fillId="0" borderId="45" xfId="49" applyNumberFormat="1" applyFont="1" applyBorder="1" applyAlignment="1">
      <alignment horizontal="right" vertical="center"/>
    </xf>
    <xf numFmtId="0" fontId="75" fillId="0" borderId="36" xfId="49" applyFont="1" applyBorder="1" applyAlignment="1">
      <alignment horizontal="left" vertical="top" indent="2"/>
    </xf>
    <xf numFmtId="4" fontId="11" fillId="0" borderId="0" xfId="49" applyNumberFormat="1" applyFont="1" applyAlignment="1">
      <alignment horizontal="right" vertical="center"/>
    </xf>
    <xf numFmtId="4" fontId="11" fillId="0" borderId="45" xfId="49" applyNumberFormat="1" applyFont="1" applyBorder="1" applyAlignment="1">
      <alignment horizontal="right" vertical="center"/>
    </xf>
    <xf numFmtId="4" fontId="10" fillId="0" borderId="0" xfId="49" applyNumberFormat="1" applyFont="1" applyAlignment="1" applyProtection="1">
      <alignment horizontal="right" vertical="center"/>
      <protection locked="0"/>
    </xf>
    <xf numFmtId="4" fontId="10" fillId="0" borderId="45" xfId="49" applyNumberFormat="1" applyFont="1" applyBorder="1" applyAlignment="1" applyProtection="1">
      <alignment horizontal="right" vertical="center"/>
      <protection locked="0"/>
    </xf>
    <xf numFmtId="0" fontId="10" fillId="0" borderId="36" xfId="49" applyFont="1" applyBorder="1" applyAlignment="1">
      <alignment horizontal="left" vertical="top" indent="1"/>
    </xf>
    <xf numFmtId="0" fontId="10" fillId="0" borderId="36" xfId="49" applyFont="1" applyBorder="1" applyAlignment="1">
      <alignment horizontal="left" vertical="top" indent="2"/>
    </xf>
    <xf numFmtId="0" fontId="10" fillId="0" borderId="46" xfId="49" applyFont="1" applyBorder="1" applyAlignment="1">
      <alignment horizontal="left" vertical="top" indent="3"/>
    </xf>
    <xf numFmtId="4" fontId="10" fillId="0" borderId="47" xfId="49" applyNumberFormat="1" applyFont="1" applyBorder="1" applyAlignment="1" applyProtection="1">
      <alignment horizontal="right" vertical="center"/>
      <protection locked="0"/>
    </xf>
    <xf numFmtId="4" fontId="10" fillId="0" borderId="48" xfId="49" applyNumberFormat="1" applyFont="1" applyBorder="1" applyAlignment="1" applyProtection="1">
      <alignment horizontal="right" vertical="center"/>
      <protection locked="0"/>
    </xf>
    <xf numFmtId="0" fontId="10" fillId="0" borderId="0" xfId="49" applyFont="1" applyAlignment="1">
      <alignment horizontal="left" vertical="top" indent="2"/>
    </xf>
    <xf numFmtId="0" fontId="10" fillId="0" borderId="0" xfId="49" applyFont="1" applyAlignment="1">
      <alignment horizontal="left" vertical="top" indent="1"/>
    </xf>
    <xf numFmtId="0" fontId="183" fillId="0" borderId="0" xfId="49" applyFont="1" applyAlignment="1">
      <alignment horizontal="left" vertical="top" wrapText="1" indent="1"/>
    </xf>
    <xf numFmtId="0" fontId="184" fillId="0" borderId="0" xfId="0" applyFont="1"/>
    <xf numFmtId="0" fontId="11" fillId="25" borderId="26" xfId="0" applyFont="1" applyFill="1" applyBorder="1" applyAlignment="1">
      <alignment horizontal="center" vertical="center"/>
    </xf>
    <xf numFmtId="49" fontId="11" fillId="25" borderId="28" xfId="0" applyNumberFormat="1" applyFont="1" applyFill="1" applyBorder="1" applyAlignment="1" applyProtection="1">
      <alignment horizontal="center" vertical="center"/>
      <protection locked="0"/>
    </xf>
    <xf numFmtId="49" fontId="11" fillId="25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justify" vertical="center"/>
    </xf>
    <xf numFmtId="0" fontId="11" fillId="0" borderId="36" xfId="0" applyFont="1" applyBorder="1" applyAlignment="1">
      <alignment horizontal="left" vertical="center" indent="2"/>
    </xf>
    <xf numFmtId="4" fontId="11" fillId="0" borderId="0" xfId="33" applyNumberFormat="1" applyFont="1" applyFill="1" applyBorder="1" applyAlignment="1">
      <alignment horizontal="right" vertical="center"/>
    </xf>
    <xf numFmtId="4" fontId="11" fillId="0" borderId="45" xfId="33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 wrapText="1" indent="4"/>
    </xf>
    <xf numFmtId="4" fontId="10" fillId="0" borderId="0" xfId="33" applyNumberFormat="1" applyFont="1" applyFill="1" applyBorder="1" applyAlignment="1" applyProtection="1">
      <alignment horizontal="right" vertical="center"/>
      <protection locked="0"/>
    </xf>
    <xf numFmtId="4" fontId="10" fillId="0" borderId="45" xfId="33" applyNumberFormat="1" applyFont="1" applyFill="1" applyBorder="1" applyAlignment="1" applyProtection="1">
      <alignment horizontal="right" vertical="center"/>
      <protection locked="0"/>
    </xf>
    <xf numFmtId="43" fontId="182" fillId="0" borderId="0" xfId="0" applyNumberFormat="1" applyFont="1"/>
    <xf numFmtId="0" fontId="75" fillId="0" borderId="36" xfId="0" applyFont="1" applyBorder="1" applyAlignment="1">
      <alignment vertical="center"/>
    </xf>
    <xf numFmtId="4" fontId="76" fillId="0" borderId="0" xfId="0" applyNumberFormat="1" applyFont="1" applyAlignment="1">
      <alignment horizontal="right" vertical="center" wrapText="1"/>
    </xf>
    <xf numFmtId="4" fontId="76" fillId="0" borderId="0" xfId="33" applyNumberFormat="1" applyFont="1" applyFill="1" applyBorder="1" applyAlignment="1">
      <alignment horizontal="right" vertical="center"/>
    </xf>
    <xf numFmtId="4" fontId="76" fillId="0" borderId="45" xfId="33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 indent="4"/>
    </xf>
    <xf numFmtId="4" fontId="71" fillId="0" borderId="0" xfId="33" applyNumberFormat="1" applyFont="1" applyFill="1" applyBorder="1" applyAlignment="1" applyProtection="1">
      <alignment horizontal="right" vertical="center"/>
      <protection locked="0"/>
    </xf>
    <xf numFmtId="4" fontId="71" fillId="0" borderId="45" xfId="33" applyNumberFormat="1" applyFont="1" applyFill="1" applyBorder="1" applyAlignment="1" applyProtection="1">
      <alignment horizontal="right" vertical="center"/>
      <protection locked="0"/>
    </xf>
    <xf numFmtId="0" fontId="185" fillId="0" borderId="0" xfId="0" applyFont="1" applyAlignment="1">
      <alignment horizontal="right"/>
    </xf>
    <xf numFmtId="4" fontId="11" fillId="0" borderId="45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45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horizontal="left" vertical="center" indent="5"/>
    </xf>
    <xf numFmtId="4" fontId="10" fillId="0" borderId="0" xfId="0" applyNumberFormat="1" applyFont="1" applyAlignment="1" applyProtection="1">
      <alignment horizontal="right" vertical="center"/>
      <protection locked="0"/>
    </xf>
    <xf numFmtId="4" fontId="10" fillId="0" borderId="45" xfId="0" applyNumberFormat="1" applyFont="1" applyBorder="1" applyAlignment="1" applyProtection="1">
      <alignment horizontal="right" vertical="center"/>
      <protection locked="0"/>
    </xf>
    <xf numFmtId="4" fontId="186" fillId="0" borderId="0" xfId="0" applyNumberFormat="1" applyFont="1"/>
    <xf numFmtId="4" fontId="186" fillId="0" borderId="45" xfId="0" applyNumberFormat="1" applyFont="1" applyBorder="1"/>
    <xf numFmtId="4" fontId="76" fillId="0" borderId="45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11" fillId="0" borderId="45" xfId="0" applyNumberFormat="1" applyFont="1" applyBorder="1" applyAlignment="1" applyProtection="1">
      <alignment horizontal="right" vertical="center"/>
      <protection locked="0"/>
    </xf>
    <xf numFmtId="0" fontId="11" fillId="25" borderId="62" xfId="0" applyFont="1" applyFill="1" applyBorder="1" applyAlignment="1">
      <alignment vertical="center" wrapText="1"/>
    </xf>
    <xf numFmtId="0" fontId="11" fillId="25" borderId="62" xfId="0" applyFont="1" applyFill="1" applyBorder="1" applyAlignment="1">
      <alignment horizontal="center" vertical="center" wrapText="1"/>
    </xf>
    <xf numFmtId="0" fontId="11" fillId="25" borderId="63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64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left" vertical="center" wrapText="1"/>
    </xf>
    <xf numFmtId="170" fontId="11" fillId="0" borderId="64" xfId="33" applyNumberFormat="1" applyFont="1" applyFill="1" applyBorder="1" applyAlignment="1">
      <alignment horizontal="right" vertical="center" wrapText="1"/>
    </xf>
    <xf numFmtId="0" fontId="10" fillId="0" borderId="64" xfId="0" applyFont="1" applyBorder="1"/>
    <xf numFmtId="0" fontId="75" fillId="0" borderId="36" xfId="0" applyFont="1" applyBorder="1" applyAlignment="1">
      <alignment horizontal="left" vertical="center" wrapText="1" indent="2"/>
    </xf>
    <xf numFmtId="0" fontId="10" fillId="0" borderId="36" xfId="0" applyFont="1" applyBorder="1" applyAlignment="1">
      <alignment horizontal="left" vertical="center" wrapText="1" indent="2"/>
    </xf>
    <xf numFmtId="170" fontId="10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10" fillId="0" borderId="64" xfId="33" applyNumberFormat="1" applyFont="1" applyFill="1" applyBorder="1" applyAlignment="1" applyProtection="1">
      <alignment horizontal="right" vertical="center" wrapText="1"/>
    </xf>
    <xf numFmtId="170" fontId="10" fillId="0" borderId="64" xfId="33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right"/>
    </xf>
    <xf numFmtId="0" fontId="10" fillId="0" borderId="46" xfId="0" applyFont="1" applyBorder="1" applyAlignment="1">
      <alignment horizontal="left" vertical="center" wrapText="1" indent="2"/>
    </xf>
    <xf numFmtId="0" fontId="10" fillId="0" borderId="63" xfId="0" applyFont="1" applyBorder="1" applyAlignment="1">
      <alignment horizontal="justify" vertical="center" wrapText="1"/>
    </xf>
    <xf numFmtId="0" fontId="11" fillId="39" borderId="13" xfId="0" applyFont="1" applyFill="1" applyBorder="1" applyAlignment="1">
      <alignment horizontal="center" vertical="center"/>
    </xf>
    <xf numFmtId="0" fontId="75" fillId="0" borderId="10" xfId="0" applyFont="1" applyBorder="1" applyAlignment="1">
      <alignment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 indent="7"/>
    </xf>
    <xf numFmtId="4" fontId="11" fillId="0" borderId="12" xfId="0" applyNumberFormat="1" applyFont="1" applyBorder="1" applyAlignment="1" applyProtection="1">
      <alignment horizontal="right" vertical="center" wrapText="1"/>
      <protection locked="0"/>
    </xf>
    <xf numFmtId="0" fontId="180" fillId="0" borderId="0" xfId="0" applyFont="1" applyAlignment="1">
      <alignment horizontal="right"/>
    </xf>
    <xf numFmtId="0" fontId="11" fillId="0" borderId="10" xfId="0" applyFont="1" applyBorder="1" applyAlignment="1">
      <alignment vertical="center" wrapText="1"/>
    </xf>
    <xf numFmtId="4" fontId="10" fillId="0" borderId="12" xfId="0" applyNumberFormat="1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>
      <alignment horizontal="center" vertical="center" wrapText="1"/>
    </xf>
    <xf numFmtId="0" fontId="179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center" wrapText="1" indent="3"/>
    </xf>
    <xf numFmtId="4" fontId="71" fillId="0" borderId="12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>
      <alignment horizontal="center" vertical="center" wrapText="1"/>
    </xf>
    <xf numFmtId="0" fontId="79" fillId="0" borderId="10" xfId="0" applyFont="1" applyBorder="1" applyAlignment="1">
      <alignment horizontal="left" vertical="center" wrapText="1" indent="3"/>
    </xf>
    <xf numFmtId="4" fontId="11" fillId="0" borderId="11" xfId="0" applyNumberFormat="1" applyFont="1" applyBorder="1" applyAlignment="1" applyProtection="1">
      <alignment horizontal="center" vertical="center" wrapText="1"/>
      <protection locked="0"/>
    </xf>
    <xf numFmtId="4" fontId="76" fillId="0" borderId="1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3"/>
    </xf>
    <xf numFmtId="4" fontId="76" fillId="0" borderId="11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justify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 applyProtection="1">
      <alignment horizontal="center" vertical="center" wrapText="1"/>
      <protection locked="0"/>
    </xf>
    <xf numFmtId="4" fontId="76" fillId="0" borderId="11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horizontal="justify" vertical="center" wrapText="1"/>
    </xf>
    <xf numFmtId="4" fontId="75" fillId="0" borderId="18" xfId="0" applyNumberFormat="1" applyFont="1" applyBorder="1" applyAlignment="1">
      <alignment horizontal="center" vertical="center" wrapText="1"/>
    </xf>
    <xf numFmtId="4" fontId="75" fillId="0" borderId="21" xfId="0" applyNumberFormat="1" applyFont="1" applyBorder="1" applyAlignment="1">
      <alignment horizontal="center" vertical="center" wrapText="1"/>
    </xf>
    <xf numFmtId="49" fontId="139" fillId="39" borderId="17" xfId="0" applyNumberFormat="1" applyFont="1" applyFill="1" applyBorder="1" applyAlignment="1">
      <alignment horizontal="center" vertical="center"/>
    </xf>
    <xf numFmtId="49" fontId="139" fillId="39" borderId="17" xfId="0" applyNumberFormat="1" applyFont="1" applyFill="1" applyBorder="1" applyAlignment="1">
      <alignment horizontal="center" vertical="center" wrapText="1"/>
    </xf>
    <xf numFmtId="0" fontId="186" fillId="0" borderId="22" xfId="0" applyFont="1" applyBorder="1" applyAlignment="1">
      <alignment horizontal="left" vertical="center" wrapText="1" indent="1"/>
    </xf>
    <xf numFmtId="4" fontId="186" fillId="0" borderId="12" xfId="0" applyNumberFormat="1" applyFont="1" applyBorder="1" applyAlignment="1" applyProtection="1">
      <alignment horizontal="right" vertical="center"/>
      <protection locked="0"/>
    </xf>
    <xf numFmtId="4" fontId="186" fillId="0" borderId="0" xfId="0" applyNumberFormat="1" applyFont="1" applyAlignment="1" applyProtection="1">
      <alignment horizontal="right" vertical="center"/>
      <protection locked="0"/>
    </xf>
    <xf numFmtId="4" fontId="186" fillId="0" borderId="16" xfId="0" applyNumberFormat="1" applyFont="1" applyBorder="1" applyAlignment="1">
      <alignment horizontal="right" vertical="center"/>
    </xf>
    <xf numFmtId="4" fontId="186" fillId="0" borderId="16" xfId="0" applyNumberFormat="1" applyFont="1" applyBorder="1" applyAlignment="1" applyProtection="1">
      <alignment horizontal="right" vertical="center"/>
      <protection locked="0"/>
    </xf>
    <xf numFmtId="4" fontId="186" fillId="0" borderId="11" xfId="0" applyNumberFormat="1" applyFont="1" applyBorder="1" applyAlignment="1">
      <alignment horizontal="right" vertical="center"/>
    </xf>
    <xf numFmtId="0" fontId="186" fillId="0" borderId="10" xfId="0" applyFont="1" applyBorder="1" applyAlignment="1">
      <alignment horizontal="left" vertical="center" wrapText="1" indent="1"/>
    </xf>
    <xf numFmtId="4" fontId="186" fillId="0" borderId="12" xfId="0" applyNumberFormat="1" applyFont="1" applyBorder="1" applyAlignment="1">
      <alignment horizontal="right" vertical="center"/>
    </xf>
    <xf numFmtId="0" fontId="186" fillId="0" borderId="20" xfId="0" applyFont="1" applyBorder="1" applyAlignment="1">
      <alignment horizontal="left" vertical="center" wrapText="1" indent="1"/>
    </xf>
    <xf numFmtId="4" fontId="186" fillId="0" borderId="18" xfId="0" applyNumberFormat="1" applyFont="1" applyBorder="1" applyAlignment="1">
      <alignment horizontal="right" vertical="center"/>
    </xf>
    <xf numFmtId="4" fontId="186" fillId="0" borderId="18" xfId="0" applyNumberFormat="1" applyFont="1" applyBorder="1" applyAlignment="1" applyProtection="1">
      <alignment horizontal="right" vertical="center"/>
      <protection locked="0"/>
    </xf>
    <xf numFmtId="0" fontId="139" fillId="41" borderId="13" xfId="0" applyFont="1" applyFill="1" applyBorder="1" applyAlignment="1">
      <alignment horizontal="center" vertical="center" wrapText="1"/>
    </xf>
    <xf numFmtId="4" fontId="139" fillId="0" borderId="17" xfId="0" applyNumberFormat="1" applyFont="1" applyBorder="1" applyAlignment="1">
      <alignment horizontal="right" vertical="center"/>
    </xf>
    <xf numFmtId="0" fontId="184" fillId="0" borderId="20" xfId="0" applyFont="1" applyBorder="1" applyAlignment="1">
      <alignment vertical="center" wrapText="1"/>
    </xf>
    <xf numFmtId="4" fontId="184" fillId="0" borderId="19" xfId="0" applyNumberFormat="1" applyFont="1" applyBorder="1" applyAlignment="1">
      <alignment horizontal="right" vertical="center" wrapText="1"/>
    </xf>
    <xf numFmtId="4" fontId="139" fillId="0" borderId="18" xfId="0" applyNumberFormat="1" applyFont="1" applyBorder="1" applyAlignment="1">
      <alignment horizontal="right" vertical="center"/>
    </xf>
    <xf numFmtId="0" fontId="184" fillId="0" borderId="0" xfId="0" applyFont="1" applyAlignment="1">
      <alignment vertical="center" wrapText="1"/>
    </xf>
    <xf numFmtId="4" fontId="184" fillId="0" borderId="0" xfId="0" applyNumberFormat="1" applyFont="1" applyAlignment="1">
      <alignment horizontal="center" vertical="center" wrapText="1"/>
    </xf>
    <xf numFmtId="4" fontId="139" fillId="0" borderId="0" xfId="0" applyNumberFormat="1" applyFont="1" applyAlignment="1">
      <alignment horizontal="center" vertical="center" wrapText="1"/>
    </xf>
    <xf numFmtId="4" fontId="139" fillId="0" borderId="0" xfId="0" applyNumberFormat="1" applyFont="1" applyAlignment="1">
      <alignment horizontal="center" vertical="center"/>
    </xf>
    <xf numFmtId="49" fontId="11" fillId="39" borderId="17" xfId="0" applyNumberFormat="1" applyFont="1" applyFill="1" applyBorder="1" applyAlignment="1">
      <alignment horizontal="center" vertical="center"/>
    </xf>
    <xf numFmtId="49" fontId="11" fillId="39" borderId="17" xfId="0" applyNumberFormat="1" applyFont="1" applyFill="1" applyBorder="1" applyAlignment="1">
      <alignment horizontal="center" vertical="center" wrapText="1"/>
    </xf>
    <xf numFmtId="49" fontId="11" fillId="39" borderId="15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 indent="1"/>
    </xf>
    <xf numFmtId="4" fontId="10" fillId="0" borderId="12" xfId="0" applyNumberFormat="1" applyFont="1" applyBorder="1" applyAlignment="1" applyProtection="1">
      <alignment horizontal="right" vertical="center"/>
      <protection locked="0"/>
    </xf>
    <xf numFmtId="4" fontId="10" fillId="0" borderId="10" xfId="0" applyNumberFormat="1" applyFont="1" applyBorder="1" applyAlignment="1" applyProtection="1">
      <alignment horizontal="right" vertical="center"/>
      <protection locked="0"/>
    </xf>
    <xf numFmtId="4" fontId="10" fillId="0" borderId="12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 applyProtection="1">
      <alignment horizontal="right" vertical="center"/>
      <protection locked="0"/>
    </xf>
    <xf numFmtId="4" fontId="10" fillId="0" borderId="1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indent="1"/>
    </xf>
    <xf numFmtId="0" fontId="10" fillId="0" borderId="10" xfId="0" applyFont="1" applyBorder="1" applyAlignment="1">
      <alignment horizontal="left" vertical="center" indent="1"/>
    </xf>
    <xf numFmtId="0" fontId="10" fillId="0" borderId="10" xfId="0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 indent="1"/>
    </xf>
    <xf numFmtId="4" fontId="10" fillId="0" borderId="20" xfId="0" applyNumberFormat="1" applyFont="1" applyBorder="1" applyAlignment="1" applyProtection="1">
      <alignment horizontal="right" vertical="center"/>
      <protection locked="0"/>
    </xf>
    <xf numFmtId="4" fontId="10" fillId="0" borderId="18" xfId="0" applyNumberFormat="1" applyFont="1" applyBorder="1" applyAlignment="1" applyProtection="1">
      <alignment horizontal="right" vertical="center"/>
      <protection locked="0"/>
    </xf>
    <xf numFmtId="4" fontId="10" fillId="0" borderId="21" xfId="0" applyNumberFormat="1" applyFont="1" applyBorder="1" applyAlignment="1" applyProtection="1">
      <alignment horizontal="right" vertical="center"/>
      <protection locked="0"/>
    </xf>
    <xf numFmtId="0" fontId="11" fillId="41" borderId="13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 wrapText="1"/>
    </xf>
    <xf numFmtId="49" fontId="139" fillId="39" borderId="16" xfId="0" applyNumberFormat="1" applyFont="1" applyFill="1" applyBorder="1" applyAlignment="1">
      <alignment horizontal="center" vertical="center"/>
    </xf>
    <xf numFmtId="0" fontId="71" fillId="0" borderId="22" xfId="0" applyFont="1" applyBorder="1" applyAlignment="1" applyProtection="1">
      <alignment vertical="center" wrapText="1"/>
      <protection locked="0"/>
    </xf>
    <xf numFmtId="4" fontId="186" fillId="0" borderId="22" xfId="0" applyNumberFormat="1" applyFont="1" applyBorder="1" applyAlignment="1" applyProtection="1">
      <alignment horizontal="right" vertical="center"/>
      <protection locked="0"/>
    </xf>
    <xf numFmtId="4" fontId="186" fillId="0" borderId="23" xfId="0" applyNumberFormat="1" applyFont="1" applyBorder="1" applyAlignment="1">
      <alignment horizontal="right" vertical="center"/>
    </xf>
    <xf numFmtId="0" fontId="71" fillId="0" borderId="10" xfId="0" applyFont="1" applyBorder="1" applyProtection="1">
      <protection locked="0"/>
    </xf>
    <xf numFmtId="4" fontId="186" fillId="0" borderId="10" xfId="0" applyNumberFormat="1" applyFont="1" applyBorder="1" applyAlignment="1" applyProtection="1">
      <alignment horizontal="right" vertical="center"/>
      <protection locked="0"/>
    </xf>
    <xf numFmtId="0" fontId="71" fillId="0" borderId="10" xfId="0" applyFont="1" applyBorder="1" applyAlignment="1" applyProtection="1">
      <alignment vertical="center" wrapText="1"/>
      <protection locked="0"/>
    </xf>
    <xf numFmtId="0" fontId="71" fillId="0" borderId="20" xfId="0" applyFont="1" applyBorder="1" applyAlignment="1" applyProtection="1">
      <alignment vertical="center" wrapText="1"/>
      <protection locked="0"/>
    </xf>
    <xf numFmtId="4" fontId="186" fillId="0" borderId="20" xfId="0" applyNumberFormat="1" applyFont="1" applyBorder="1" applyAlignment="1" applyProtection="1">
      <alignment horizontal="right" vertical="center"/>
      <protection locked="0"/>
    </xf>
    <xf numFmtId="4" fontId="186" fillId="0" borderId="21" xfId="0" applyNumberFormat="1" applyFont="1" applyBorder="1" applyAlignment="1">
      <alignment horizontal="right" vertical="center"/>
    </xf>
    <xf numFmtId="4" fontId="186" fillId="0" borderId="11" xfId="0" applyNumberFormat="1" applyFont="1" applyBorder="1" applyAlignment="1" applyProtection="1">
      <alignment horizontal="right" vertical="center"/>
      <protection locked="0"/>
    </xf>
    <xf numFmtId="0" fontId="139" fillId="0" borderId="13" xfId="0" applyFont="1" applyBorder="1" applyAlignment="1">
      <alignment horizontal="center" vertical="center" wrapText="1"/>
    </xf>
    <xf numFmtId="0" fontId="71" fillId="0" borderId="20" xfId="0" applyFont="1" applyBorder="1" applyAlignment="1">
      <alignment vertical="center" wrapText="1"/>
    </xf>
    <xf numFmtId="0" fontId="71" fillId="0" borderId="19" xfId="0" applyFont="1" applyBorder="1" applyAlignment="1">
      <alignment vertical="center" wrapText="1"/>
    </xf>
    <xf numFmtId="0" fontId="71" fillId="0" borderId="0" xfId="0" applyFont="1"/>
    <xf numFmtId="49" fontId="76" fillId="25" borderId="48" xfId="0" applyNumberFormat="1" applyFont="1" applyFill="1" applyBorder="1" applyAlignment="1">
      <alignment horizontal="center" vertical="center" wrapText="1"/>
    </xf>
    <xf numFmtId="0" fontId="76" fillId="25" borderId="29" xfId="0" applyFont="1" applyFill="1" applyBorder="1" applyAlignment="1">
      <alignment horizontal="center" vertical="center" wrapText="1"/>
    </xf>
    <xf numFmtId="49" fontId="76" fillId="25" borderId="29" xfId="0" applyNumberFormat="1" applyFont="1" applyFill="1" applyBorder="1" applyAlignment="1">
      <alignment horizontal="center" vertical="center" wrapText="1"/>
    </xf>
    <xf numFmtId="0" fontId="71" fillId="0" borderId="42" xfId="0" applyFont="1" applyBorder="1" applyAlignment="1" applyProtection="1">
      <alignment horizontal="left" vertical="center"/>
      <protection locked="0"/>
    </xf>
    <xf numFmtId="4" fontId="71" fillId="0" borderId="62" xfId="0" applyNumberFormat="1" applyFont="1" applyBorder="1" applyAlignment="1">
      <alignment horizontal="right" vertical="center"/>
    </xf>
    <xf numFmtId="4" fontId="71" fillId="0" borderId="43" xfId="0" applyNumberFormat="1" applyFont="1" applyBorder="1" applyAlignment="1">
      <alignment horizontal="right" vertical="center"/>
    </xf>
    <xf numFmtId="4" fontId="71" fillId="0" borderId="44" xfId="0" applyNumberFormat="1" applyFont="1" applyBorder="1" applyAlignment="1">
      <alignment horizontal="right" vertical="center"/>
    </xf>
    <xf numFmtId="0" fontId="71" fillId="0" borderId="36" xfId="0" applyFont="1" applyBorder="1" applyAlignment="1" applyProtection="1">
      <alignment horizontal="left" vertical="center"/>
      <protection locked="0"/>
    </xf>
    <xf numFmtId="4" fontId="71" fillId="0" borderId="64" xfId="0" applyNumberFormat="1" applyFont="1" applyBorder="1" applyAlignment="1" applyProtection="1">
      <alignment horizontal="right" vertical="center"/>
      <protection locked="0"/>
    </xf>
    <xf numFmtId="4" fontId="71" fillId="0" borderId="0" xfId="0" applyNumberFormat="1" applyFont="1" applyAlignment="1" applyProtection="1">
      <alignment horizontal="right" vertical="center"/>
      <protection locked="0"/>
    </xf>
    <xf numFmtId="4" fontId="71" fillId="0" borderId="64" xfId="0" applyNumberFormat="1" applyFont="1" applyBorder="1" applyAlignment="1">
      <alignment horizontal="right" vertical="center"/>
    </xf>
    <xf numFmtId="4" fontId="71" fillId="0" borderId="45" xfId="0" applyNumberFormat="1" applyFont="1" applyBorder="1" applyAlignment="1">
      <alignment horizontal="right" vertical="center"/>
    </xf>
    <xf numFmtId="0" fontId="71" fillId="0" borderId="36" xfId="0" applyFont="1" applyBorder="1" applyAlignment="1" applyProtection="1">
      <alignment horizontal="left" vertical="center" wrapText="1"/>
      <protection locked="0"/>
    </xf>
    <xf numFmtId="4" fontId="71" fillId="0" borderId="0" xfId="0" applyNumberFormat="1" applyFont="1" applyAlignment="1">
      <alignment horizontal="right" vertical="center"/>
    </xf>
    <xf numFmtId="0" fontId="76" fillId="0" borderId="26" xfId="0" applyFont="1" applyBorder="1" applyAlignment="1">
      <alignment horizontal="left" vertical="center"/>
    </xf>
    <xf numFmtId="4" fontId="76" fillId="0" borderId="29" xfId="0" applyNumberFormat="1" applyFont="1" applyBorder="1" applyAlignment="1">
      <alignment horizontal="right" vertical="center"/>
    </xf>
    <xf numFmtId="4" fontId="76" fillId="0" borderId="28" xfId="0" applyNumberFormat="1" applyFont="1" applyBorder="1" applyAlignment="1">
      <alignment horizontal="right" vertical="center"/>
    </xf>
    <xf numFmtId="4" fontId="76" fillId="0" borderId="27" xfId="0" applyNumberFormat="1" applyFont="1" applyBorder="1" applyAlignment="1">
      <alignment horizontal="right" vertical="center"/>
    </xf>
    <xf numFmtId="0" fontId="71" fillId="0" borderId="62" xfId="0" applyFont="1" applyBorder="1" applyAlignment="1">
      <alignment horizontal="left" vertical="center"/>
    </xf>
    <xf numFmtId="0" fontId="71" fillId="0" borderId="64" xfId="0" applyFont="1" applyBorder="1" applyAlignment="1">
      <alignment horizontal="left" vertical="center" wrapText="1"/>
    </xf>
    <xf numFmtId="0" fontId="71" fillId="0" borderId="64" xfId="0" applyFont="1" applyBorder="1" applyAlignment="1">
      <alignment horizontal="left" vertical="center"/>
    </xf>
    <xf numFmtId="0" fontId="71" fillId="0" borderId="64" xfId="0" applyFont="1" applyBorder="1"/>
    <xf numFmtId="0" fontId="76" fillId="0" borderId="29" xfId="0" applyFont="1" applyBorder="1" applyAlignment="1">
      <alignment horizontal="left" vertical="center"/>
    </xf>
    <xf numFmtId="49" fontId="76" fillId="25" borderId="27" xfId="0" applyNumberFormat="1" applyFont="1" applyFill="1" applyBorder="1" applyAlignment="1">
      <alignment horizontal="center" vertical="center"/>
    </xf>
    <xf numFmtId="0" fontId="71" fillId="0" borderId="42" xfId="0" applyFont="1" applyBorder="1" applyAlignment="1">
      <alignment horizontal="left" vertical="center" wrapText="1"/>
    </xf>
    <xf numFmtId="4" fontId="71" fillId="0" borderId="62" xfId="0" applyNumberFormat="1" applyFont="1" applyBorder="1" applyAlignment="1">
      <alignment horizontal="right" vertical="center" wrapText="1"/>
    </xf>
    <xf numFmtId="4" fontId="71" fillId="0" borderId="43" xfId="0" applyNumberFormat="1" applyFont="1" applyBorder="1" applyAlignment="1">
      <alignment horizontal="right" vertical="center" wrapText="1"/>
    </xf>
    <xf numFmtId="4" fontId="71" fillId="0" borderId="44" xfId="0" applyNumberFormat="1" applyFont="1" applyBorder="1" applyAlignment="1">
      <alignment horizontal="right" vertical="center" wrapText="1"/>
    </xf>
    <xf numFmtId="0" fontId="76" fillId="0" borderId="36" xfId="0" applyFont="1" applyBorder="1" applyAlignment="1">
      <alignment horizontal="left" vertical="center" wrapText="1"/>
    </xf>
    <xf numFmtId="4" fontId="71" fillId="0" borderId="64" xfId="0" applyNumberFormat="1" applyFont="1" applyBorder="1" applyAlignment="1" applyProtection="1">
      <alignment horizontal="right" vertical="center" wrapText="1"/>
      <protection locked="0"/>
    </xf>
    <xf numFmtId="4" fontId="71" fillId="0" borderId="0" xfId="0" applyNumberFormat="1" applyFont="1" applyAlignment="1" applyProtection="1">
      <alignment horizontal="right" vertical="center" wrapText="1"/>
      <protection locked="0"/>
    </xf>
    <xf numFmtId="4" fontId="71" fillId="0" borderId="64" xfId="0" applyNumberFormat="1" applyFont="1" applyBorder="1" applyAlignment="1">
      <alignment horizontal="right" vertical="center" wrapText="1"/>
    </xf>
    <xf numFmtId="4" fontId="71" fillId="0" borderId="45" xfId="0" applyNumberFormat="1" applyFont="1" applyBorder="1" applyAlignment="1">
      <alignment horizontal="right" vertical="center" wrapText="1"/>
    </xf>
    <xf numFmtId="0" fontId="71" fillId="0" borderId="36" xfId="0" applyFont="1" applyBorder="1" applyAlignment="1">
      <alignment horizontal="left" vertical="center" wrapText="1"/>
    </xf>
    <xf numFmtId="4" fontId="71" fillId="0" borderId="0" xfId="0" applyNumberFormat="1" applyFont="1" applyAlignment="1">
      <alignment horizontal="right" vertical="center" wrapText="1"/>
    </xf>
    <xf numFmtId="0" fontId="76" fillId="0" borderId="26" xfId="0" applyFont="1" applyBorder="1" applyAlignment="1">
      <alignment horizontal="left" vertical="center" wrapText="1"/>
    </xf>
    <xf numFmtId="4" fontId="76" fillId="0" borderId="29" xfId="0" applyNumberFormat="1" applyFont="1" applyBorder="1" applyAlignment="1">
      <alignment horizontal="right" vertical="center" wrapText="1"/>
    </xf>
    <xf numFmtId="4" fontId="76" fillId="0" borderId="28" xfId="0" applyNumberFormat="1" applyFont="1" applyBorder="1" applyAlignment="1">
      <alignment horizontal="right" vertical="center" wrapText="1"/>
    </xf>
    <xf numFmtId="4" fontId="76" fillId="0" borderId="27" xfId="0" applyNumberFormat="1" applyFont="1" applyBorder="1" applyAlignment="1">
      <alignment horizontal="right" vertical="center" wrapText="1"/>
    </xf>
    <xf numFmtId="0" fontId="185" fillId="0" borderId="0" xfId="0" applyFont="1"/>
    <xf numFmtId="0" fontId="76" fillId="0" borderId="36" xfId="0" applyFont="1" applyBorder="1" applyAlignment="1">
      <alignment vertical="center"/>
    </xf>
    <xf numFmtId="170" fontId="76" fillId="0" borderId="64" xfId="33" applyNumberFormat="1" applyFont="1" applyFill="1" applyBorder="1" applyAlignment="1" applyProtection="1">
      <alignment horizontal="right" vertical="center"/>
    </xf>
    <xf numFmtId="0" fontId="71" fillId="0" borderId="36" xfId="0" applyFont="1" applyBorder="1" applyAlignment="1">
      <alignment horizontal="left" vertical="center" indent="4"/>
    </xf>
    <xf numFmtId="170" fontId="71" fillId="0" borderId="64" xfId="33" applyNumberFormat="1" applyFont="1" applyFill="1" applyBorder="1" applyAlignment="1" applyProtection="1">
      <alignment horizontal="right" vertical="center"/>
      <protection locked="0"/>
    </xf>
    <xf numFmtId="170" fontId="71" fillId="0" borderId="45" xfId="33" applyNumberFormat="1" applyFont="1" applyFill="1" applyBorder="1" applyAlignment="1" applyProtection="1">
      <alignment horizontal="right" vertical="center"/>
      <protection locked="0"/>
    </xf>
    <xf numFmtId="170" fontId="71" fillId="0" borderId="45" xfId="33" applyNumberFormat="1" applyFont="1" applyFill="1" applyBorder="1" applyAlignment="1" applyProtection="1">
      <alignment horizontal="right" vertical="center"/>
    </xf>
    <xf numFmtId="170" fontId="71" fillId="0" borderId="64" xfId="33" applyNumberFormat="1" applyFont="1" applyFill="1" applyBorder="1" applyAlignment="1" applyProtection="1">
      <alignment horizontal="right" vertical="center"/>
    </xf>
    <xf numFmtId="0" fontId="71" fillId="0" borderId="36" xfId="0" applyFont="1" applyBorder="1" applyAlignment="1">
      <alignment horizontal="left" vertical="center" wrapText="1" indent="4"/>
    </xf>
    <xf numFmtId="0" fontId="76" fillId="0" borderId="36" xfId="0" applyFont="1" applyBorder="1" applyAlignment="1">
      <alignment vertical="center" wrapText="1"/>
    </xf>
    <xf numFmtId="0" fontId="71" fillId="0" borderId="46" xfId="0" applyFont="1" applyBorder="1" applyAlignment="1">
      <alignment horizontal="left" vertical="center" wrapText="1" indent="4"/>
    </xf>
    <xf numFmtId="170" fontId="71" fillId="0" borderId="63" xfId="33" applyNumberFormat="1" applyFont="1" applyFill="1" applyBorder="1" applyAlignment="1" applyProtection="1">
      <alignment horizontal="right" vertical="center"/>
      <protection locked="0"/>
    </xf>
    <xf numFmtId="170" fontId="71" fillId="0" borderId="48" xfId="33" applyNumberFormat="1" applyFont="1" applyFill="1" applyBorder="1" applyAlignment="1" applyProtection="1">
      <alignment horizontal="right" vertical="center"/>
      <protection locked="0"/>
    </xf>
    <xf numFmtId="170" fontId="71" fillId="0" borderId="48" xfId="33" applyNumberFormat="1" applyFont="1" applyFill="1" applyBorder="1" applyAlignment="1" applyProtection="1">
      <alignment horizontal="right" vertical="center"/>
    </xf>
    <xf numFmtId="170" fontId="71" fillId="0" borderId="63" xfId="33" applyNumberFormat="1" applyFont="1" applyFill="1" applyBorder="1" applyAlignment="1" applyProtection="1">
      <alignment horizontal="right" vertical="center"/>
    </xf>
    <xf numFmtId="170" fontId="76" fillId="0" borderId="45" xfId="33" applyNumberFormat="1" applyFont="1" applyFill="1" applyBorder="1" applyAlignment="1" applyProtection="1">
      <alignment horizontal="right" vertical="center"/>
    </xf>
    <xf numFmtId="0" fontId="76" fillId="0" borderId="26" xfId="0" applyFont="1" applyBorder="1" applyAlignment="1">
      <alignment horizontal="center"/>
    </xf>
    <xf numFmtId="170" fontId="76" fillId="0" borderId="29" xfId="0" applyNumberFormat="1" applyFont="1" applyBorder="1"/>
    <xf numFmtId="49" fontId="76" fillId="25" borderId="27" xfId="0" applyNumberFormat="1" applyFont="1" applyFill="1" applyBorder="1" applyAlignment="1">
      <alignment horizontal="center" vertical="center" wrapText="1"/>
    </xf>
    <xf numFmtId="0" fontId="76" fillId="25" borderId="27" xfId="0" applyFont="1" applyFill="1" applyBorder="1" applyAlignment="1">
      <alignment horizontal="center" vertical="center" wrapText="1"/>
    </xf>
    <xf numFmtId="49" fontId="76" fillId="0" borderId="64" xfId="0" applyNumberFormat="1" applyFont="1" applyBorder="1" applyAlignment="1">
      <alignment horizontal="center" vertical="center"/>
    </xf>
    <xf numFmtId="0" fontId="76" fillId="0" borderId="45" xfId="0" applyFont="1" applyBorder="1" applyAlignment="1">
      <alignment horizontal="center" vertical="center" wrapText="1"/>
    </xf>
    <xf numFmtId="49" fontId="76" fillId="0" borderId="45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/>
    </xf>
    <xf numFmtId="0" fontId="10" fillId="0" borderId="64" xfId="0" applyFont="1" applyBorder="1" applyAlignment="1">
      <alignment horizontal="left" vertical="center" wrapText="1" indent="2"/>
    </xf>
    <xf numFmtId="0" fontId="11" fillId="0" borderId="64" xfId="0" applyFont="1" applyBorder="1" applyAlignment="1">
      <alignment horizontal="justify" vertical="center" wrapText="1"/>
    </xf>
    <xf numFmtId="4" fontId="10" fillId="0" borderId="45" xfId="33" applyNumberFormat="1" applyFont="1" applyFill="1" applyBorder="1" applyAlignment="1" applyProtection="1">
      <alignment horizontal="right" vertical="center"/>
    </xf>
    <xf numFmtId="0" fontId="11" fillId="0" borderId="64" xfId="0" applyFont="1" applyBorder="1" applyAlignment="1">
      <alignment vertical="center" wrapText="1"/>
    </xf>
    <xf numFmtId="0" fontId="11" fillId="0" borderId="64" xfId="0" applyFont="1" applyBorder="1" applyAlignment="1">
      <alignment horizontal="left" vertical="center" wrapText="1" indent="2"/>
    </xf>
    <xf numFmtId="0" fontId="11" fillId="0" borderId="6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4" fontId="11" fillId="0" borderId="27" xfId="0" applyNumberFormat="1" applyFont="1" applyBorder="1" applyAlignment="1">
      <alignment horizontal="right" vertical="center"/>
    </xf>
    <xf numFmtId="49" fontId="76" fillId="25" borderId="29" xfId="0" applyNumberFormat="1" applyFont="1" applyFill="1" applyBorder="1" applyAlignment="1">
      <alignment horizontal="center" vertical="center"/>
    </xf>
    <xf numFmtId="0" fontId="71" fillId="0" borderId="68" xfId="0" applyFont="1" applyBorder="1" applyAlignment="1" applyProtection="1">
      <alignment vertical="center" wrapText="1"/>
      <protection locked="0"/>
    </xf>
    <xf numFmtId="4" fontId="71" fillId="0" borderId="69" xfId="0" applyNumberFormat="1" applyFont="1" applyBorder="1" applyAlignment="1" applyProtection="1">
      <alignment vertical="center"/>
      <protection locked="0"/>
    </xf>
    <xf numFmtId="4" fontId="71" fillId="0" borderId="70" xfId="0" applyNumberFormat="1" applyFont="1" applyBorder="1" applyAlignment="1">
      <alignment vertical="center"/>
    </xf>
    <xf numFmtId="0" fontId="71" fillId="0" borderId="71" xfId="0" applyFont="1" applyBorder="1" applyAlignment="1" applyProtection="1">
      <alignment vertical="center"/>
      <protection locked="0"/>
    </xf>
    <xf numFmtId="4" fontId="71" fillId="0" borderId="17" xfId="0" applyNumberFormat="1" applyFont="1" applyBorder="1" applyAlignment="1" applyProtection="1">
      <alignment vertical="center"/>
      <protection locked="0"/>
    </xf>
    <xf numFmtId="4" fontId="71" fillId="0" borderId="72" xfId="0" applyNumberFormat="1" applyFont="1" applyBorder="1" applyAlignment="1">
      <alignment vertical="center"/>
    </xf>
    <xf numFmtId="0" fontId="71" fillId="0" borderId="71" xfId="0" applyFont="1" applyBorder="1" applyAlignment="1" applyProtection="1">
      <alignment vertical="center" wrapText="1"/>
      <protection locked="0"/>
    </xf>
    <xf numFmtId="0" fontId="76" fillId="0" borderId="71" xfId="0" applyFont="1" applyBorder="1" applyAlignment="1">
      <alignment horizontal="center" vertical="center"/>
    </xf>
    <xf numFmtId="4" fontId="76" fillId="0" borderId="17" xfId="0" applyNumberFormat="1" applyFont="1" applyBorder="1" applyAlignment="1">
      <alignment vertical="center"/>
    </xf>
    <xf numFmtId="4" fontId="76" fillId="0" borderId="72" xfId="0" applyNumberFormat="1" applyFont="1" applyBorder="1" applyAlignment="1">
      <alignment vertical="center"/>
    </xf>
    <xf numFmtId="0" fontId="93" fillId="0" borderId="0" xfId="0" applyFont="1"/>
    <xf numFmtId="0" fontId="71" fillId="0" borderId="73" xfId="0" applyFont="1" applyBorder="1" applyAlignment="1">
      <alignment vertical="center" wrapText="1"/>
    </xf>
    <xf numFmtId="4" fontId="71" fillId="0" borderId="16" xfId="0" applyNumberFormat="1" applyFont="1" applyBorder="1" applyAlignment="1">
      <alignment vertical="center"/>
    </xf>
    <xf numFmtId="4" fontId="71" fillId="0" borderId="74" xfId="0" applyNumberFormat="1" applyFont="1" applyBorder="1" applyAlignment="1">
      <alignment vertical="center"/>
    </xf>
    <xf numFmtId="0" fontId="71" fillId="0" borderId="68" xfId="0" applyFont="1" applyBorder="1" applyAlignment="1" applyProtection="1">
      <alignment horizontal="left" vertical="center" wrapText="1"/>
      <protection locked="0"/>
    </xf>
    <xf numFmtId="0" fontId="76" fillId="0" borderId="71" xfId="0" applyFont="1" applyBorder="1" applyAlignment="1">
      <alignment horizontal="center" vertical="center" wrapText="1"/>
    </xf>
    <xf numFmtId="0" fontId="71" fillId="0" borderId="71" xfId="0" applyFont="1" applyBorder="1" applyAlignment="1">
      <alignment vertical="center" wrapText="1"/>
    </xf>
    <xf numFmtId="4" fontId="71" fillId="0" borderId="17" xfId="0" applyNumberFormat="1" applyFont="1" applyBorder="1" applyAlignment="1">
      <alignment vertical="center"/>
    </xf>
    <xf numFmtId="0" fontId="76" fillId="0" borderId="51" xfId="0" applyFont="1" applyBorder="1" applyAlignment="1">
      <alignment horizontal="center" vertical="center"/>
    </xf>
    <xf numFmtId="4" fontId="76" fillId="0" borderId="52" xfId="0" applyNumberFormat="1" applyFont="1" applyBorder="1" applyAlignment="1">
      <alignment vertical="center"/>
    </xf>
    <xf numFmtId="4" fontId="76" fillId="0" borderId="53" xfId="0" applyNumberFormat="1" applyFont="1" applyBorder="1" applyAlignment="1">
      <alignment vertical="center"/>
    </xf>
    <xf numFmtId="0" fontId="87" fillId="0" borderId="0" xfId="143" applyFont="1"/>
    <xf numFmtId="0" fontId="106" fillId="28" borderId="0" xfId="143" applyFont="1" applyFill="1"/>
    <xf numFmtId="0" fontId="87" fillId="28" borderId="0" xfId="143" applyFont="1" applyFill="1"/>
    <xf numFmtId="0" fontId="56" fillId="34" borderId="17" xfId="143" applyFont="1" applyFill="1" applyBorder="1" applyAlignment="1">
      <alignment horizontal="center"/>
    </xf>
    <xf numFmtId="0" fontId="87" fillId="28" borderId="17" xfId="143" applyFont="1" applyFill="1" applyBorder="1"/>
    <xf numFmtId="0" fontId="98" fillId="28" borderId="17" xfId="143" applyFont="1" applyFill="1" applyBorder="1"/>
    <xf numFmtId="0" fontId="87" fillId="28" borderId="17" xfId="143" applyFont="1" applyFill="1" applyBorder="1" applyAlignment="1">
      <alignment horizontal="left"/>
    </xf>
    <xf numFmtId="0" fontId="87" fillId="28" borderId="17" xfId="143" applyFont="1" applyFill="1" applyBorder="1" applyAlignment="1">
      <alignment horizontal="center"/>
    </xf>
    <xf numFmtId="0" fontId="87" fillId="28" borderId="13" xfId="143" applyFont="1" applyFill="1" applyBorder="1" applyAlignment="1">
      <alignment horizontal="center" wrapText="1"/>
    </xf>
    <xf numFmtId="0" fontId="87" fillId="28" borderId="15" xfId="143" applyFont="1" applyFill="1" applyBorder="1" applyAlignment="1">
      <alignment horizontal="center" wrapText="1"/>
    </xf>
    <xf numFmtId="49" fontId="139" fillId="39" borderId="23" xfId="0" applyNumberFormat="1" applyFont="1" applyFill="1" applyBorder="1" applyAlignment="1">
      <alignment horizontal="center" vertical="center"/>
    </xf>
    <xf numFmtId="49" fontId="139" fillId="39" borderId="21" xfId="0" applyNumberFormat="1" applyFont="1" applyFill="1" applyBorder="1" applyAlignment="1">
      <alignment horizontal="center" vertical="center"/>
    </xf>
    <xf numFmtId="49" fontId="139" fillId="39" borderId="18" xfId="0" applyNumberFormat="1" applyFont="1" applyFill="1" applyBorder="1" applyAlignment="1">
      <alignment horizontal="center" vertical="center"/>
    </xf>
    <xf numFmtId="0" fontId="189" fillId="0" borderId="12" xfId="0" applyFont="1" applyBorder="1" applyAlignment="1">
      <alignment vertical="center"/>
    </xf>
    <xf numFmtId="4" fontId="11" fillId="0" borderId="12" xfId="0" applyNumberFormat="1" applyFont="1" applyBorder="1" applyAlignment="1">
      <alignment horizontal="center" vertical="center"/>
    </xf>
    <xf numFmtId="4" fontId="139" fillId="0" borderId="11" xfId="0" applyNumberFormat="1" applyFont="1" applyBorder="1" applyAlignment="1">
      <alignment horizontal="center" vertical="center"/>
    </xf>
    <xf numFmtId="4" fontId="139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indent="2"/>
    </xf>
    <xf numFmtId="4" fontId="186" fillId="0" borderId="12" xfId="0" applyNumberFormat="1" applyFont="1" applyBorder="1" applyAlignment="1">
      <alignment vertical="center" wrapText="1"/>
    </xf>
    <xf numFmtId="0" fontId="186" fillId="0" borderId="12" xfId="0" applyFont="1" applyBorder="1" applyAlignment="1">
      <alignment horizontal="left" vertical="center" indent="3"/>
    </xf>
    <xf numFmtId="4" fontId="186" fillId="0" borderId="12" xfId="0" applyNumberFormat="1" applyFont="1" applyBorder="1" applyAlignment="1" applyProtection="1">
      <alignment vertical="center" wrapText="1"/>
      <protection locked="0"/>
    </xf>
    <xf numFmtId="0" fontId="186" fillId="0" borderId="12" xfId="0" applyFont="1" applyBorder="1" applyAlignment="1">
      <alignment horizontal="left" vertical="center" wrapText="1" indent="3"/>
    </xf>
    <xf numFmtId="0" fontId="186" fillId="0" borderId="12" xfId="0" applyFont="1" applyBorder="1" applyAlignment="1">
      <alignment horizontal="left" vertical="center" wrapText="1" indent="2"/>
    </xf>
    <xf numFmtId="0" fontId="139" fillId="0" borderId="12" xfId="0" applyFont="1" applyBorder="1" applyAlignment="1">
      <alignment horizontal="left" vertical="center" wrapText="1" indent="4"/>
    </xf>
    <xf numFmtId="4" fontId="139" fillId="0" borderId="12" xfId="0" applyNumberFormat="1" applyFont="1" applyBorder="1" applyAlignment="1">
      <alignment horizontal="right" vertical="center"/>
    </xf>
    <xf numFmtId="4" fontId="139" fillId="0" borderId="11" xfId="0" applyNumberFormat="1" applyFont="1" applyBorder="1" applyAlignment="1">
      <alignment horizontal="right" vertical="center"/>
    </xf>
    <xf numFmtId="0" fontId="71" fillId="0" borderId="12" xfId="0" applyFont="1" applyBorder="1" applyAlignment="1">
      <alignment horizontal="left" vertical="center" indent="3"/>
    </xf>
    <xf numFmtId="0" fontId="76" fillId="0" borderId="12" xfId="0" applyFont="1" applyBorder="1" applyAlignment="1">
      <alignment horizontal="left" vertical="center" indent="2"/>
    </xf>
    <xf numFmtId="0" fontId="76" fillId="0" borderId="12" xfId="0" applyFont="1" applyBorder="1" applyAlignment="1">
      <alignment horizontal="left" vertical="center" indent="4"/>
    </xf>
    <xf numFmtId="4" fontId="10" fillId="0" borderId="18" xfId="0" applyNumberFormat="1" applyFont="1" applyBorder="1"/>
    <xf numFmtId="4" fontId="139" fillId="0" borderId="15" xfId="0" applyNumberFormat="1" applyFont="1" applyBorder="1" applyAlignment="1">
      <alignment horizontal="right" vertical="center"/>
    </xf>
    <xf numFmtId="0" fontId="76" fillId="25" borderId="29" xfId="0" applyFont="1" applyFill="1" applyBorder="1" applyAlignment="1">
      <alignment horizontal="center" vertical="center"/>
    </xf>
    <xf numFmtId="0" fontId="76" fillId="25" borderId="63" xfId="0" applyFont="1" applyFill="1" applyBorder="1" applyAlignment="1">
      <alignment horizontal="center" vertical="center"/>
    </xf>
    <xf numFmtId="0" fontId="76" fillId="0" borderId="42" xfId="0" applyFont="1" applyBorder="1" applyAlignment="1">
      <alignment horizontal="left" vertical="center" wrapText="1"/>
    </xf>
    <xf numFmtId="4" fontId="76" fillId="0" borderId="62" xfId="0" applyNumberFormat="1" applyFont="1" applyBorder="1" applyAlignment="1">
      <alignment horizontal="right" vertical="center"/>
    </xf>
    <xf numFmtId="4" fontId="76" fillId="0" borderId="43" xfId="0" applyNumberFormat="1" applyFont="1" applyBorder="1" applyAlignment="1">
      <alignment horizontal="right" vertical="center"/>
    </xf>
    <xf numFmtId="4" fontId="76" fillId="0" borderId="45" xfId="0" applyNumberFormat="1" applyFont="1" applyBorder="1" applyAlignment="1">
      <alignment horizontal="right" vertical="center"/>
    </xf>
    <xf numFmtId="0" fontId="76" fillId="0" borderId="36" xfId="0" applyFont="1" applyBorder="1" applyAlignment="1">
      <alignment horizontal="left" vertical="center" wrapText="1" indent="2"/>
    </xf>
    <xf numFmtId="4" fontId="76" fillId="0" borderId="64" xfId="0" applyNumberFormat="1" applyFont="1" applyBorder="1" applyAlignment="1">
      <alignment horizontal="right" vertical="center"/>
    </xf>
    <xf numFmtId="4" fontId="76" fillId="0" borderId="0" xfId="0" applyNumberFormat="1" applyFont="1" applyAlignment="1">
      <alignment horizontal="right" vertical="center"/>
    </xf>
    <xf numFmtId="0" fontId="76" fillId="0" borderId="0" xfId="0" applyFont="1"/>
    <xf numFmtId="4" fontId="76" fillId="0" borderId="64" xfId="0" applyNumberFormat="1" applyFont="1" applyBorder="1" applyAlignment="1" applyProtection="1">
      <alignment horizontal="right" vertical="center"/>
      <protection locked="0"/>
    </xf>
    <xf numFmtId="4" fontId="76" fillId="0" borderId="0" xfId="0" applyNumberFormat="1" applyFont="1" applyAlignment="1" applyProtection="1">
      <alignment horizontal="right" vertical="center"/>
      <protection locked="0"/>
    </xf>
    <xf numFmtId="0" fontId="71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39" fillId="39" borderId="29" xfId="0" applyNumberFormat="1" applyFont="1" applyFill="1" applyBorder="1" applyAlignment="1">
      <alignment horizontal="center" vertical="center" wrapText="1"/>
    </xf>
    <xf numFmtId="0" fontId="76" fillId="0" borderId="64" xfId="0" applyFont="1" applyBorder="1" applyAlignment="1">
      <alignment horizontal="left" vertical="center" wrapText="1" indent="1"/>
    </xf>
    <xf numFmtId="2" fontId="76" fillId="0" borderId="45" xfId="0" applyNumberFormat="1" applyFont="1" applyBorder="1" applyAlignment="1">
      <alignment horizontal="justify" vertical="center" wrapText="1"/>
    </xf>
    <xf numFmtId="0" fontId="76" fillId="0" borderId="45" xfId="0" applyFont="1" applyBorder="1" applyAlignment="1">
      <alignment horizontal="left" vertical="center" wrapText="1" indent="1"/>
    </xf>
    <xf numFmtId="0" fontId="76" fillId="0" borderId="45" xfId="0" applyFont="1" applyBorder="1" applyAlignment="1">
      <alignment horizontal="justify" vertical="center" wrapText="1"/>
    </xf>
    <xf numFmtId="2" fontId="71" fillId="0" borderId="45" xfId="0" applyNumberFormat="1" applyFont="1" applyBorder="1" applyAlignment="1">
      <alignment horizontal="justify" vertical="center" wrapText="1"/>
    </xf>
    <xf numFmtId="0" fontId="71" fillId="0" borderId="45" xfId="0" applyFont="1" applyBorder="1" applyAlignment="1">
      <alignment horizontal="justify" vertical="center" wrapText="1"/>
    </xf>
    <xf numFmtId="0" fontId="71" fillId="0" borderId="64" xfId="0" applyFont="1" applyBorder="1" applyAlignment="1">
      <alignment horizontal="left" vertical="center" wrapText="1" indent="1"/>
    </xf>
    <xf numFmtId="4" fontId="76" fillId="0" borderId="45" xfId="33" applyNumberFormat="1" applyFont="1" applyFill="1" applyBorder="1" applyAlignment="1">
      <alignment horizontal="right" vertical="center" wrapText="1"/>
    </xf>
    <xf numFmtId="0" fontId="71" fillId="0" borderId="45" xfId="0" applyFont="1" applyBorder="1" applyAlignment="1">
      <alignment horizontal="left" vertical="center" wrapText="1" indent="1"/>
    </xf>
    <xf numFmtId="0" fontId="71" fillId="0" borderId="64" xfId="0" applyFont="1" applyBorder="1" applyAlignment="1">
      <alignment horizontal="left" vertical="center" wrapText="1" indent="3"/>
    </xf>
    <xf numFmtId="4" fontId="71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71" fillId="0" borderId="45" xfId="0" applyFont="1" applyBorder="1" applyAlignment="1">
      <alignment horizontal="left" vertical="center" wrapText="1" indent="3"/>
    </xf>
    <xf numFmtId="4" fontId="76" fillId="0" borderId="45" xfId="33" applyNumberFormat="1" applyFont="1" applyFill="1" applyBorder="1" applyAlignment="1" applyProtection="1">
      <alignment horizontal="right" vertical="center" wrapText="1"/>
      <protection locked="0"/>
    </xf>
    <xf numFmtId="4" fontId="71" fillId="0" borderId="45" xfId="33" applyNumberFormat="1" applyFont="1" applyFill="1" applyBorder="1" applyAlignment="1">
      <alignment horizontal="right" vertical="center" wrapText="1"/>
    </xf>
    <xf numFmtId="0" fontId="190" fillId="0" borderId="64" xfId="0" applyFont="1" applyBorder="1" applyAlignment="1">
      <alignment horizontal="left" vertical="center" wrapText="1" indent="1"/>
    </xf>
    <xf numFmtId="4" fontId="190" fillId="0" borderId="45" xfId="33" applyNumberFormat="1" applyFont="1" applyFill="1" applyBorder="1" applyAlignment="1">
      <alignment horizontal="right" vertical="center" wrapText="1"/>
    </xf>
    <xf numFmtId="0" fontId="191" fillId="0" borderId="45" xfId="0" applyFont="1" applyBorder="1" applyAlignment="1">
      <alignment horizontal="left" vertical="center" wrapText="1" indent="1"/>
    </xf>
    <xf numFmtId="0" fontId="82" fillId="0" borderId="45" xfId="0" applyFont="1" applyBorder="1" applyAlignment="1">
      <alignment horizontal="left" vertical="center" wrapText="1" indent="1"/>
    </xf>
    <xf numFmtId="4" fontId="190" fillId="0" borderId="45" xfId="33" applyNumberFormat="1" applyFont="1" applyFill="1" applyBorder="1" applyAlignment="1">
      <alignment horizontal="justify" vertical="center" wrapText="1"/>
    </xf>
    <xf numFmtId="0" fontId="190" fillId="0" borderId="63" xfId="0" applyFont="1" applyBorder="1" applyAlignment="1">
      <alignment horizontal="justify" vertical="center" wrapText="1"/>
    </xf>
    <xf numFmtId="4" fontId="190" fillId="0" borderId="48" xfId="33" applyNumberFormat="1" applyFont="1" applyBorder="1" applyAlignment="1">
      <alignment horizontal="justify" vertical="center" wrapText="1"/>
    </xf>
    <xf numFmtId="0" fontId="190" fillId="0" borderId="48" xfId="0" applyFont="1" applyBorder="1" applyAlignment="1">
      <alignment horizontal="justify" vertical="center" wrapText="1"/>
    </xf>
    <xf numFmtId="4" fontId="71" fillId="0" borderId="48" xfId="33" applyNumberFormat="1" applyFont="1" applyBorder="1" applyAlignment="1">
      <alignment horizontal="right" vertical="center" wrapText="1"/>
    </xf>
    <xf numFmtId="0" fontId="184" fillId="0" borderId="0" xfId="0" applyFont="1" applyAlignment="1">
      <alignment horizontal="left"/>
    </xf>
    <xf numFmtId="49" fontId="76" fillId="25" borderId="44" xfId="0" applyNumberFormat="1" applyFont="1" applyFill="1" applyBorder="1" applyAlignment="1">
      <alignment horizontal="center" vertical="center" wrapText="1"/>
    </xf>
    <xf numFmtId="4" fontId="76" fillId="25" borderId="45" xfId="33" applyNumberFormat="1" applyFont="1" applyFill="1" applyBorder="1" applyAlignment="1">
      <alignment horizontal="right" vertical="center" wrapText="1"/>
    </xf>
    <xf numFmtId="4" fontId="71" fillId="25" borderId="45" xfId="33" applyNumberFormat="1" applyFont="1" applyFill="1" applyBorder="1" applyAlignment="1">
      <alignment horizontal="right" vertical="center" wrapText="1"/>
    </xf>
    <xf numFmtId="0" fontId="76" fillId="0" borderId="63" xfId="0" applyFont="1" applyBorder="1" applyAlignment="1">
      <alignment horizontal="left" vertical="center" wrapText="1" indent="1"/>
    </xf>
    <xf numFmtId="4" fontId="76" fillId="0" borderId="48" xfId="33" applyNumberFormat="1" applyFont="1" applyFill="1" applyBorder="1" applyAlignment="1">
      <alignment horizontal="right" vertical="center" wrapText="1"/>
    </xf>
    <xf numFmtId="0" fontId="76" fillId="0" borderId="0" xfId="0" applyFont="1" applyAlignment="1">
      <alignment horizontal="left" vertical="center" wrapText="1"/>
    </xf>
    <xf numFmtId="4" fontId="76" fillId="0" borderId="0" xfId="33" applyNumberFormat="1" applyFont="1" applyFill="1" applyBorder="1" applyAlignment="1">
      <alignment horizontal="right" vertical="center" wrapText="1"/>
    </xf>
    <xf numFmtId="0" fontId="71" fillId="0" borderId="47" xfId="0" applyFont="1" applyBorder="1" applyAlignment="1">
      <alignment horizontal="left" vertical="center" wrapText="1"/>
    </xf>
    <xf numFmtId="4" fontId="71" fillId="0" borderId="47" xfId="0" applyNumberFormat="1" applyFont="1" applyBorder="1" applyAlignment="1">
      <alignment horizontal="right" vertical="center" wrapText="1"/>
    </xf>
    <xf numFmtId="0" fontId="71" fillId="0" borderId="64" xfId="0" applyFont="1" applyBorder="1" applyAlignment="1">
      <alignment horizontal="left" vertical="center" wrapText="1" indent="2"/>
    </xf>
    <xf numFmtId="0" fontId="71" fillId="0" borderId="63" xfId="0" applyFont="1" applyBorder="1" applyAlignment="1">
      <alignment horizontal="left" vertical="center" wrapText="1" indent="1"/>
    </xf>
    <xf numFmtId="4" fontId="71" fillId="0" borderId="48" xfId="0" applyNumberFormat="1" applyFont="1" applyBorder="1" applyAlignment="1">
      <alignment horizontal="right" vertical="center" wrapText="1"/>
    </xf>
    <xf numFmtId="0" fontId="71" fillId="0" borderId="43" xfId="0" applyFont="1" applyBorder="1" applyAlignment="1">
      <alignment vertical="center" wrapText="1"/>
    </xf>
    <xf numFmtId="49" fontId="76" fillId="25" borderId="44" xfId="0" applyNumberFormat="1" applyFont="1" applyFill="1" applyBorder="1" applyAlignment="1">
      <alignment horizontal="center" vertical="center"/>
    </xf>
    <xf numFmtId="49" fontId="76" fillId="25" borderId="48" xfId="0" applyNumberFormat="1" applyFont="1" applyFill="1" applyBorder="1" applyAlignment="1">
      <alignment horizontal="center" vertical="center"/>
    </xf>
    <xf numFmtId="0" fontId="76" fillId="0" borderId="64" xfId="0" applyFont="1" applyBorder="1" applyAlignment="1">
      <alignment horizontal="left" vertical="center" indent="1"/>
    </xf>
    <xf numFmtId="0" fontId="76" fillId="0" borderId="43" xfId="0" applyFont="1" applyBorder="1" applyAlignment="1">
      <alignment vertical="center"/>
    </xf>
    <xf numFmtId="4" fontId="71" fillId="0" borderId="45" xfId="33" applyNumberFormat="1" applyFont="1" applyFill="1" applyBorder="1" applyAlignment="1">
      <alignment horizontal="right" vertical="center"/>
    </xf>
    <xf numFmtId="4" fontId="71" fillId="25" borderId="45" xfId="33" applyNumberFormat="1" applyFont="1" applyFill="1" applyBorder="1" applyAlignment="1">
      <alignment horizontal="right" vertical="center"/>
    </xf>
    <xf numFmtId="4" fontId="76" fillId="0" borderId="63" xfId="33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indent="1"/>
    </xf>
    <xf numFmtId="0" fontId="73" fillId="0" borderId="0" xfId="0" applyFont="1"/>
    <xf numFmtId="0" fontId="71" fillId="0" borderId="62" xfId="0" applyFont="1" applyBorder="1" applyAlignment="1">
      <alignment horizontal="left" vertical="center" indent="1"/>
    </xf>
    <xf numFmtId="0" fontId="71" fillId="0" borderId="45" xfId="0" applyFont="1" applyBorder="1" applyAlignment="1">
      <alignment horizontal="center" vertical="center"/>
    </xf>
    <xf numFmtId="4" fontId="76" fillId="0" borderId="45" xfId="33" applyNumberFormat="1" applyFont="1" applyBorder="1" applyAlignment="1">
      <alignment horizontal="right" vertical="center"/>
    </xf>
    <xf numFmtId="4" fontId="76" fillId="0" borderId="45" xfId="33" applyNumberFormat="1" applyFont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indent="3"/>
    </xf>
    <xf numFmtId="4" fontId="76" fillId="0" borderId="45" xfId="33" applyNumberFormat="1" applyFont="1" applyFill="1" applyBorder="1" applyAlignment="1" applyProtection="1">
      <alignment horizontal="right" vertical="center"/>
      <protection locked="0"/>
    </xf>
    <xf numFmtId="4" fontId="76" fillId="0" borderId="45" xfId="33" applyNumberFormat="1" applyFont="1" applyFill="1" applyBorder="1" applyAlignment="1" applyProtection="1">
      <alignment horizontal="right" vertical="center"/>
    </xf>
    <xf numFmtId="4" fontId="71" fillId="0" borderId="45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wrapText="1" indent="5"/>
    </xf>
    <xf numFmtId="0" fontId="71" fillId="0" borderId="64" xfId="0" applyFont="1" applyBorder="1" applyAlignment="1">
      <alignment horizontal="left" vertical="center" indent="5"/>
    </xf>
    <xf numFmtId="4" fontId="71" fillId="25" borderId="45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indent="1"/>
    </xf>
    <xf numFmtId="4" fontId="71" fillId="0" borderId="45" xfId="33" applyNumberFormat="1" applyFont="1" applyBorder="1" applyAlignment="1">
      <alignment horizontal="right" vertical="center"/>
    </xf>
    <xf numFmtId="4" fontId="71" fillId="0" borderId="45" xfId="33" applyNumberFormat="1" applyFont="1" applyBorder="1" applyAlignment="1" applyProtection="1">
      <alignment horizontal="right" vertical="center"/>
    </xf>
    <xf numFmtId="4" fontId="76" fillId="0" borderId="66" xfId="0" applyNumberFormat="1" applyFont="1" applyBorder="1" applyAlignment="1">
      <alignment vertical="center"/>
    </xf>
    <xf numFmtId="0" fontId="76" fillId="0" borderId="64" xfId="0" applyFont="1" applyBorder="1" applyAlignment="1">
      <alignment horizontal="left" vertical="center" indent="3"/>
    </xf>
    <xf numFmtId="0" fontId="76" fillId="0" borderId="63" xfId="0" applyFont="1" applyBorder="1" applyAlignment="1">
      <alignment horizontal="left" vertical="center" indent="3"/>
    </xf>
    <xf numFmtId="4" fontId="76" fillId="0" borderId="48" xfId="33" applyNumberFormat="1" applyFont="1" applyFill="1" applyBorder="1" applyAlignment="1">
      <alignment horizontal="right" vertical="center"/>
    </xf>
    <xf numFmtId="4" fontId="76" fillId="0" borderId="48" xfId="33" applyNumberFormat="1" applyFont="1" applyFill="1" applyBorder="1" applyAlignment="1" applyProtection="1">
      <alignment horizontal="right" vertical="center"/>
    </xf>
    <xf numFmtId="49" fontId="76" fillId="0" borderId="62" xfId="0" applyNumberFormat="1" applyFont="1" applyBorder="1" applyAlignment="1">
      <alignment vertical="center"/>
    </xf>
    <xf numFmtId="49" fontId="76" fillId="0" borderId="64" xfId="0" applyNumberFormat="1" applyFont="1" applyBorder="1" applyAlignment="1">
      <alignment horizontal="center" vertical="center" wrapText="1"/>
    </xf>
    <xf numFmtId="0" fontId="76" fillId="0" borderId="64" xfId="0" applyFont="1" applyBorder="1" applyAlignment="1">
      <alignment vertical="center"/>
    </xf>
    <xf numFmtId="170" fontId="76" fillId="0" borderId="45" xfId="33" applyNumberFormat="1" applyFont="1" applyFill="1" applyBorder="1" applyAlignment="1">
      <alignment horizontal="right" vertical="center"/>
    </xf>
    <xf numFmtId="170" fontId="76" fillId="0" borderId="64" xfId="33" applyNumberFormat="1" applyFont="1" applyFill="1" applyBorder="1" applyAlignment="1">
      <alignment horizontal="right" vertical="center"/>
    </xf>
    <xf numFmtId="0" fontId="193" fillId="0" borderId="0" xfId="0" applyFont="1"/>
    <xf numFmtId="0" fontId="76" fillId="0" borderId="64" xfId="0" applyFont="1" applyBorder="1" applyAlignment="1">
      <alignment vertical="center" wrapText="1"/>
    </xf>
    <xf numFmtId="0" fontId="71" fillId="0" borderId="64" xfId="0" applyFont="1" applyBorder="1" applyAlignment="1">
      <alignment horizontal="left" vertical="center" indent="2"/>
    </xf>
    <xf numFmtId="0" fontId="76" fillId="0" borderId="62" xfId="0" applyFont="1" applyBorder="1" applyAlignment="1">
      <alignment horizontal="center" vertical="center"/>
    </xf>
    <xf numFmtId="170" fontId="76" fillId="0" borderId="44" xfId="33" applyNumberFormat="1" applyFont="1" applyFill="1" applyBorder="1" applyAlignment="1">
      <alignment horizontal="right" vertical="center"/>
    </xf>
    <xf numFmtId="170" fontId="76" fillId="0" borderId="44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vertical="center"/>
    </xf>
    <xf numFmtId="0" fontId="71" fillId="0" borderId="64" xfId="0" applyFont="1" applyBorder="1" applyAlignment="1">
      <alignment vertical="center" wrapText="1"/>
    </xf>
    <xf numFmtId="170" fontId="184" fillId="0" borderId="0" xfId="0" applyNumberFormat="1" applyFont="1"/>
    <xf numFmtId="170" fontId="71" fillId="0" borderId="45" xfId="33" applyNumberFormat="1" applyFont="1" applyFill="1" applyBorder="1" applyAlignment="1">
      <alignment horizontal="right" vertical="center"/>
    </xf>
    <xf numFmtId="0" fontId="76" fillId="0" borderId="63" xfId="0" applyFont="1" applyBorder="1" applyAlignment="1">
      <alignment vertical="center"/>
    </xf>
    <xf numFmtId="170" fontId="76" fillId="0" borderId="48" xfId="33" applyNumberFormat="1" applyFont="1" applyFill="1" applyBorder="1" applyAlignment="1">
      <alignment horizontal="right" vertical="center"/>
    </xf>
    <xf numFmtId="170" fontId="76" fillId="0" borderId="48" xfId="33" applyNumberFormat="1" applyFont="1" applyFill="1" applyBorder="1" applyAlignment="1" applyProtection="1">
      <alignment horizontal="right" vertical="center"/>
    </xf>
    <xf numFmtId="49" fontId="11" fillId="25" borderId="48" xfId="0" applyNumberFormat="1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4" fontId="11" fillId="0" borderId="62" xfId="0" applyNumberFormat="1" applyFont="1" applyBorder="1" applyAlignment="1" applyProtection="1">
      <alignment vertical="center" wrapText="1"/>
      <protection locked="0"/>
    </xf>
    <xf numFmtId="4" fontId="11" fillId="0" borderId="62" xfId="0" applyNumberFormat="1" applyFont="1" applyBorder="1" applyAlignment="1">
      <alignment vertical="center" wrapText="1"/>
    </xf>
    <xf numFmtId="0" fontId="71" fillId="0" borderId="64" xfId="0" applyFont="1" applyBorder="1" applyAlignment="1" applyProtection="1">
      <alignment horizontal="left" vertical="center" wrapText="1" inden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4" fontId="11" fillId="0" borderId="64" xfId="0" applyNumberFormat="1" applyFont="1" applyBorder="1" applyAlignment="1" applyProtection="1">
      <alignment vertical="center" wrapText="1"/>
      <protection locked="0"/>
    </xf>
    <xf numFmtId="4" fontId="11" fillId="0" borderId="64" xfId="0" applyNumberFormat="1" applyFont="1" applyBorder="1" applyAlignment="1">
      <alignment vertical="center" wrapText="1"/>
    </xf>
    <xf numFmtId="0" fontId="10" fillId="0" borderId="64" xfId="0" applyFont="1" applyBorder="1" applyAlignment="1" applyProtection="1">
      <alignment horizontal="justify" vertical="center" wrapText="1"/>
      <protection locked="0"/>
    </xf>
    <xf numFmtId="0" fontId="10" fillId="0" borderId="48" xfId="0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horizontal="left" vertical="center" indent="1"/>
    </xf>
    <xf numFmtId="0" fontId="11" fillId="0" borderId="64" xfId="0" applyFont="1" applyBorder="1" applyAlignment="1">
      <alignment horizontal="left" vertical="center" wrapText="1" indent="1"/>
    </xf>
    <xf numFmtId="0" fontId="179" fillId="0" borderId="64" xfId="0" applyFont="1" applyBorder="1" applyAlignment="1">
      <alignment horizontal="left" indent="1"/>
    </xf>
    <xf numFmtId="0" fontId="11" fillId="0" borderId="63" xfId="0" applyFont="1" applyBorder="1" applyAlignment="1">
      <alignment vertical="center" wrapText="1"/>
    </xf>
    <xf numFmtId="4" fontId="11" fillId="0" borderId="48" xfId="0" applyNumberFormat="1" applyFont="1" applyBorder="1" applyAlignment="1">
      <alignment horizontal="right" vertical="center"/>
    </xf>
    <xf numFmtId="170" fontId="76" fillId="0" borderId="64" xfId="33" applyNumberFormat="1" applyFont="1" applyFill="1" applyBorder="1" applyAlignment="1">
      <alignment horizontal="right" vertical="center" wrapText="1"/>
    </xf>
    <xf numFmtId="170" fontId="76" fillId="0" borderId="64" xfId="33" applyNumberFormat="1" applyFont="1" applyFill="1" applyBorder="1" applyAlignment="1" applyProtection="1">
      <alignment horizontal="right" vertical="center" wrapText="1"/>
    </xf>
    <xf numFmtId="0" fontId="71" fillId="0" borderId="36" xfId="0" applyFont="1" applyBorder="1" applyAlignment="1">
      <alignment horizontal="left" vertical="center" wrapText="1" indent="1"/>
    </xf>
    <xf numFmtId="170" fontId="71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71" fillId="0" borderId="64" xfId="33" applyNumberFormat="1" applyFont="1" applyFill="1" applyBorder="1" applyAlignment="1" applyProtection="1">
      <alignment horizontal="right" vertical="center" wrapText="1"/>
    </xf>
    <xf numFmtId="170" fontId="71" fillId="0" borderId="64" xfId="33" applyNumberFormat="1" applyFont="1" applyFill="1" applyBorder="1" applyAlignment="1">
      <alignment horizontal="right" vertical="center" wrapText="1"/>
    </xf>
    <xf numFmtId="0" fontId="71" fillId="0" borderId="36" xfId="0" applyFont="1" applyBorder="1" applyAlignment="1">
      <alignment horizontal="left" vertical="center" wrapText="1" indent="2"/>
    </xf>
    <xf numFmtId="0" fontId="71" fillId="0" borderId="36" xfId="0" applyFont="1" applyBorder="1" applyAlignment="1" applyProtection="1">
      <alignment horizontal="left" vertical="center" wrapText="1" indent="2"/>
      <protection locked="0"/>
    </xf>
    <xf numFmtId="170" fontId="76" fillId="0" borderId="45" xfId="33" applyNumberFormat="1" applyFont="1" applyFill="1" applyBorder="1" applyAlignment="1">
      <alignment horizontal="right" vertical="center" wrapText="1"/>
    </xf>
    <xf numFmtId="170" fontId="76" fillId="0" borderId="45" xfId="33" applyNumberFormat="1" applyFont="1" applyFill="1" applyBorder="1" applyAlignment="1" applyProtection="1">
      <alignment horizontal="right" vertical="center" wrapText="1"/>
    </xf>
    <xf numFmtId="0" fontId="76" fillId="0" borderId="46" xfId="0" applyFont="1" applyBorder="1" applyAlignment="1">
      <alignment horizontal="left" vertical="center" wrapText="1"/>
    </xf>
    <xf numFmtId="170" fontId="76" fillId="0" borderId="63" xfId="33" applyNumberFormat="1" applyFont="1" applyFill="1" applyBorder="1" applyAlignment="1">
      <alignment horizontal="right" vertical="center" wrapText="1"/>
    </xf>
    <xf numFmtId="170" fontId="76" fillId="0" borderId="63" xfId="33" applyNumberFormat="1" applyFont="1" applyFill="1" applyBorder="1" applyAlignment="1" applyProtection="1">
      <alignment horizontal="right" vertical="center" wrapText="1"/>
    </xf>
    <xf numFmtId="0" fontId="11" fillId="0" borderId="0" xfId="49" applyFont="1" applyFill="1"/>
    <xf numFmtId="4" fontId="9" fillId="0" borderId="11" xfId="0" applyNumberFormat="1" applyFont="1" applyBorder="1" applyAlignment="1">
      <alignment wrapText="1"/>
    </xf>
    <xf numFmtId="0" fontId="55" fillId="42" borderId="17" xfId="0" applyFont="1" applyFill="1" applyBorder="1" applyAlignment="1">
      <alignment horizontal="center"/>
    </xf>
    <xf numFmtId="166" fontId="13" fillId="26" borderId="15" xfId="33" applyNumberFormat="1" applyFont="1" applyFill="1" applyBorder="1"/>
    <xf numFmtId="166" fontId="8" fillId="0" borderId="17" xfId="33" applyNumberFormat="1" applyFont="1" applyFill="1" applyBorder="1"/>
    <xf numFmtId="166" fontId="9" fillId="26" borderId="17" xfId="33" applyNumberFormat="1" applyFont="1" applyFill="1" applyBorder="1"/>
    <xf numFmtId="166" fontId="13" fillId="26" borderId="17" xfId="33" applyNumberFormat="1" applyFont="1" applyFill="1" applyBorder="1"/>
    <xf numFmtId="166" fontId="13" fillId="26" borderId="17" xfId="33" applyNumberFormat="1" applyFont="1" applyFill="1" applyBorder="1" applyAlignment="1">
      <alignment horizontal="right"/>
    </xf>
    <xf numFmtId="166" fontId="9" fillId="28" borderId="17" xfId="33" applyNumberFormat="1" applyFont="1" applyFill="1" applyBorder="1"/>
    <xf numFmtId="166" fontId="8" fillId="26" borderId="15" xfId="33" applyNumberFormat="1" applyFont="1" applyFill="1" applyBorder="1"/>
    <xf numFmtId="166" fontId="8" fillId="26" borderId="17" xfId="33" applyNumberFormat="1" applyFont="1" applyFill="1" applyBorder="1" applyAlignment="1">
      <alignment horizontal="right"/>
    </xf>
    <xf numFmtId="0" fontId="9" fillId="0" borderId="0" xfId="0" applyFont="1" applyBorder="1"/>
    <xf numFmtId="0" fontId="54" fillId="0" borderId="0" xfId="0" applyFont="1" applyBorder="1" applyAlignment="1">
      <alignment horizontal="center"/>
    </xf>
    <xf numFmtId="3" fontId="90" fillId="0" borderId="12" xfId="82" applyNumberFormat="1" applyFont="1" applyFill="1" applyBorder="1" applyAlignment="1">
      <alignment vertical="center" wrapText="1"/>
    </xf>
    <xf numFmtId="174" fontId="90" fillId="28" borderId="12" xfId="82" applyNumberFormat="1" applyFont="1" applyFill="1" applyBorder="1" applyAlignment="1">
      <alignment vertical="center" wrapText="1"/>
    </xf>
    <xf numFmtId="3" fontId="90" fillId="28" borderId="12" xfId="82" applyNumberFormat="1" applyFont="1" applyFill="1" applyBorder="1" applyAlignment="1">
      <alignment vertical="center" wrapText="1"/>
    </xf>
    <xf numFmtId="0" fontId="54" fillId="0" borderId="0" xfId="0" applyFont="1"/>
    <xf numFmtId="0" fontId="71" fillId="28" borderId="18" xfId="82" applyFont="1" applyFill="1" applyBorder="1" applyAlignment="1">
      <alignment horizontal="center" vertical="center" wrapText="1"/>
    </xf>
    <xf numFmtId="166" fontId="15" fillId="0" borderId="16" xfId="33" applyNumberFormat="1" applyFont="1" applyFill="1" applyBorder="1"/>
    <xf numFmtId="166" fontId="9" fillId="0" borderId="12" xfId="33" applyNumberFormat="1" applyFill="1" applyBorder="1"/>
    <xf numFmtId="7" fontId="194" fillId="0" borderId="0" xfId="0" applyNumberFormat="1" applyFont="1" applyAlignment="1">
      <alignment horizontal="right" wrapText="1"/>
    </xf>
    <xf numFmtId="7" fontId="92" fillId="0" borderId="0" xfId="0" applyNumberFormat="1" applyFont="1" applyAlignment="1">
      <alignment horizontal="right" wrapText="1"/>
    </xf>
    <xf numFmtId="7" fontId="136" fillId="0" borderId="0" xfId="0" applyNumberFormat="1" applyFont="1" applyAlignment="1">
      <alignment horizontal="right" wrapText="1"/>
    </xf>
    <xf numFmtId="7" fontId="195" fillId="0" borderId="0" xfId="0" applyNumberFormat="1" applyFont="1" applyAlignment="1">
      <alignment horizontal="right" wrapText="1"/>
    </xf>
    <xf numFmtId="7" fontId="194" fillId="0" borderId="0" xfId="0" applyNumberFormat="1" applyFont="1" applyAlignment="1">
      <alignment wrapText="1"/>
    </xf>
    <xf numFmtId="7" fontId="92" fillId="0" borderId="0" xfId="0" applyNumberFormat="1" applyFont="1" applyAlignment="1">
      <alignment wrapText="1"/>
    </xf>
    <xf numFmtId="7" fontId="136" fillId="0" borderId="0" xfId="0" applyNumberFormat="1" applyFont="1" applyAlignment="1">
      <alignment wrapText="1"/>
    </xf>
    <xf numFmtId="3" fontId="71" fillId="0" borderId="0" xfId="82" applyNumberFormat="1" applyFont="1" applyFill="1" applyAlignment="1" applyProtection="1">
      <alignment horizontal="right" vertical="top"/>
      <protection locked="0"/>
    </xf>
    <xf numFmtId="0" fontId="9" fillId="0" borderId="46" xfId="106" applyFont="1" applyBorder="1"/>
    <xf numFmtId="0" fontId="8" fillId="0" borderId="63" xfId="106" applyFont="1" applyBorder="1" applyAlignment="1">
      <alignment horizontal="center"/>
    </xf>
    <xf numFmtId="0" fontId="8" fillId="0" borderId="47" xfId="106" applyFont="1" applyBorder="1" applyAlignment="1">
      <alignment horizontal="center"/>
    </xf>
    <xf numFmtId="0" fontId="93" fillId="25" borderId="29" xfId="106" applyFont="1" applyFill="1" applyBorder="1" applyAlignment="1">
      <alignment horizontal="center" wrapText="1"/>
    </xf>
    <xf numFmtId="165" fontId="71" fillId="28" borderId="0" xfId="33" applyFont="1" applyFill="1"/>
    <xf numFmtId="165" fontId="9" fillId="0" borderId="0" xfId="0" applyNumberFormat="1" applyFont="1" applyFill="1"/>
    <xf numFmtId="166" fontId="9" fillId="0" borderId="0" xfId="33" applyNumberFormat="1" applyFont="1" applyFill="1"/>
    <xf numFmtId="166" fontId="196" fillId="0" borderId="17" xfId="33" applyNumberFormat="1" applyFont="1" applyFill="1" applyBorder="1"/>
    <xf numFmtId="166" fontId="196" fillId="28" borderId="17" xfId="33" applyNumberFormat="1" applyFont="1" applyFill="1" applyBorder="1"/>
    <xf numFmtId="166" fontId="196" fillId="0" borderId="17" xfId="33" applyNumberFormat="1" applyFont="1" applyBorder="1"/>
    <xf numFmtId="166" fontId="196" fillId="0" borderId="12" xfId="33" applyNumberFormat="1" applyFont="1" applyBorder="1"/>
    <xf numFmtId="0" fontId="71" fillId="28" borderId="18" xfId="8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66" fontId="12" fillId="0" borderId="0" xfId="0" applyNumberFormat="1" applyFont="1" applyFill="1" applyBorder="1"/>
    <xf numFmtId="43" fontId="65" fillId="0" borderId="17" xfId="37" applyFont="1" applyFill="1" applyBorder="1"/>
    <xf numFmtId="4" fontId="65" fillId="0" borderId="15" xfId="37" applyNumberFormat="1" applyFont="1" applyFill="1" applyBorder="1"/>
    <xf numFmtId="170" fontId="65" fillId="0" borderId="17" xfId="37" applyNumberFormat="1" applyFont="1" applyFill="1" applyBorder="1"/>
    <xf numFmtId="43" fontId="14" fillId="0" borderId="0" xfId="37" applyFont="1" applyFill="1" applyBorder="1" applyAlignment="1">
      <alignment horizontal="center" vertical="center"/>
    </xf>
    <xf numFmtId="43" fontId="65" fillId="0" borderId="13" xfId="37" applyFont="1" applyFill="1" applyBorder="1"/>
    <xf numFmtId="170" fontId="65" fillId="0" borderId="13" xfId="37" applyNumberFormat="1" applyFont="1" applyFill="1" applyBorder="1"/>
    <xf numFmtId="4" fontId="65" fillId="0" borderId="17" xfId="37" applyNumberFormat="1" applyFont="1" applyFill="1" applyBorder="1"/>
    <xf numFmtId="170" fontId="65" fillId="0" borderId="0" xfId="37" applyNumberFormat="1" applyFont="1" applyFill="1" applyBorder="1"/>
    <xf numFmtId="43" fontId="65" fillId="0" borderId="0" xfId="37" applyFont="1" applyFill="1" applyBorder="1"/>
    <xf numFmtId="43" fontId="65" fillId="0" borderId="18" xfId="37" applyFont="1" applyFill="1" applyBorder="1" applyAlignment="1">
      <alignment horizontal="right"/>
    </xf>
    <xf numFmtId="43" fontId="64" fillId="0" borderId="0" xfId="37" applyFont="1" applyFill="1" applyBorder="1"/>
    <xf numFmtId="43" fontId="65" fillId="0" borderId="18" xfId="37" applyFont="1" applyFill="1" applyBorder="1" applyAlignment="1">
      <alignment horizontal="center"/>
    </xf>
    <xf numFmtId="43" fontId="65" fillId="0" borderId="18" xfId="37" applyFont="1" applyFill="1" applyBorder="1"/>
    <xf numFmtId="43" fontId="64" fillId="0" borderId="17" xfId="37" applyFont="1" applyFill="1" applyBorder="1"/>
    <xf numFmtId="43" fontId="65" fillId="0" borderId="17" xfId="37" applyFont="1" applyFill="1" applyBorder="1" applyAlignment="1">
      <alignment horizontal="center"/>
    </xf>
    <xf numFmtId="43" fontId="65" fillId="0" borderId="0" xfId="37" applyFont="1" applyFill="1"/>
    <xf numFmtId="43" fontId="64" fillId="0" borderId="0" xfId="37" applyFont="1" applyFill="1" applyAlignment="1"/>
    <xf numFmtId="43" fontId="65" fillId="0" borderId="22" xfId="37" applyFont="1" applyFill="1" applyBorder="1"/>
    <xf numFmtId="43" fontId="65" fillId="0" borderId="24" xfId="37" applyFont="1" applyFill="1" applyBorder="1"/>
    <xf numFmtId="43" fontId="65" fillId="0" borderId="23" xfId="37" applyFont="1" applyFill="1" applyBorder="1"/>
    <xf numFmtId="43" fontId="64" fillId="0" borderId="17" xfId="37" applyFont="1" applyFill="1" applyBorder="1" applyAlignment="1">
      <alignment horizontal="center"/>
    </xf>
    <xf numFmtId="4" fontId="14" fillId="0" borderId="0" xfId="37" applyNumberFormat="1" applyFont="1" applyFill="1" applyBorder="1" applyAlignment="1">
      <alignment horizontal="center" vertical="center"/>
    </xf>
    <xf numFmtId="43" fontId="65" fillId="0" borderId="17" xfId="136" applyNumberFormat="1" applyFont="1" applyFill="1" applyBorder="1"/>
    <xf numFmtId="169" fontId="64" fillId="0" borderId="17" xfId="37" applyNumberFormat="1" applyFont="1" applyFill="1" applyBorder="1"/>
    <xf numFmtId="43" fontId="64" fillId="0" borderId="10" xfId="37" applyFont="1" applyFill="1" applyBorder="1"/>
    <xf numFmtId="43" fontId="64" fillId="0" borderId="11" xfId="37" applyFont="1" applyFill="1" applyBorder="1"/>
    <xf numFmtId="43" fontId="65" fillId="0" borderId="17" xfId="37" applyFont="1" applyFill="1" applyBorder="1" applyAlignment="1">
      <alignment horizontal="right"/>
    </xf>
    <xf numFmtId="170" fontId="65" fillId="0" borderId="17" xfId="37" applyNumberFormat="1" applyFont="1" applyFill="1" applyBorder="1" applyAlignment="1">
      <alignment horizontal="right"/>
    </xf>
    <xf numFmtId="4" fontId="65" fillId="0" borderId="13" xfId="37" applyNumberFormat="1" applyFont="1" applyFill="1" applyBorder="1"/>
    <xf numFmtId="43" fontId="65" fillId="0" borderId="20" xfId="37" applyFont="1" applyFill="1" applyBorder="1"/>
    <xf numFmtId="43" fontId="65" fillId="0" borderId="19" xfId="37" applyFont="1" applyFill="1" applyBorder="1"/>
    <xf numFmtId="43" fontId="65" fillId="0" borderId="21" xfId="37" applyFont="1" applyFill="1" applyBorder="1"/>
    <xf numFmtId="43" fontId="65" fillId="0" borderId="16" xfId="37" applyFont="1" applyFill="1" applyBorder="1"/>
    <xf numFmtId="43" fontId="64" fillId="0" borderId="0" xfId="37" applyFont="1" applyFill="1"/>
    <xf numFmtId="43" fontId="65" fillId="0" borderId="16" xfId="37" applyFont="1" applyFill="1" applyBorder="1" applyAlignment="1">
      <alignment horizontal="center"/>
    </xf>
    <xf numFmtId="43" fontId="65" fillId="0" borderId="0" xfId="37" applyFont="1" applyFill="1" applyAlignment="1"/>
    <xf numFmtId="43" fontId="65" fillId="0" borderId="19" xfId="37" applyFont="1" applyFill="1" applyBorder="1" applyAlignment="1"/>
    <xf numFmtId="169" fontId="64" fillId="0" borderId="0" xfId="37" applyNumberFormat="1" applyFont="1" applyFill="1" applyBorder="1"/>
    <xf numFmtId="0" fontId="1" fillId="0" borderId="0" xfId="82" applyFont="1" applyFill="1"/>
    <xf numFmtId="175" fontId="8" fillId="25" borderId="27" xfId="106" applyNumberFormat="1" applyFont="1" applyFill="1" applyBorder="1" applyAlignment="1">
      <alignment horizontal="center" vertical="center" wrapText="1"/>
    </xf>
    <xf numFmtId="175" fontId="8" fillId="25" borderId="26" xfId="106" applyNumberFormat="1" applyFont="1" applyFill="1" applyBorder="1" applyAlignment="1">
      <alignment horizontal="center" vertical="center" wrapText="1"/>
    </xf>
    <xf numFmtId="0" fontId="8" fillId="24" borderId="26" xfId="0" applyFont="1" applyFill="1" applyBorder="1"/>
    <xf numFmtId="0" fontId="8" fillId="24" borderId="28" xfId="0" applyFont="1" applyFill="1" applyBorder="1"/>
    <xf numFmtId="4" fontId="8" fillId="24" borderId="28" xfId="0" applyNumberFormat="1" applyFont="1" applyFill="1" applyBorder="1"/>
    <xf numFmtId="4" fontId="8" fillId="24" borderId="27" xfId="0" applyNumberFormat="1" applyFont="1" applyFill="1" applyBorder="1"/>
    <xf numFmtId="0" fontId="8" fillId="0" borderId="10" xfId="0" applyFont="1" applyBorder="1"/>
    <xf numFmtId="0" fontId="12" fillId="0" borderId="0" xfId="0" applyFont="1" applyBorder="1"/>
    <xf numFmtId="166" fontId="12" fillId="0" borderId="12" xfId="33" applyNumberFormat="1" applyFont="1" applyBorder="1"/>
    <xf numFmtId="0" fontId="87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99" fillId="0" borderId="0" xfId="0" applyFont="1" applyAlignment="1">
      <alignment horizontal="left" vertical="top" wrapText="1"/>
    </xf>
    <xf numFmtId="4" fontId="0" fillId="32" borderId="0" xfId="0" applyNumberFormat="1" applyFill="1"/>
    <xf numFmtId="0" fontId="9" fillId="0" borderId="0" xfId="0" applyFont="1" applyAlignment="1">
      <alignment horizontal="left"/>
    </xf>
    <xf numFmtId="7" fontId="200" fillId="0" borderId="57" xfId="0" applyNumberFormat="1" applyFont="1" applyBorder="1" applyAlignment="1">
      <alignment horizontal="right" vertical="center" wrapText="1"/>
    </xf>
    <xf numFmtId="7" fontId="200" fillId="0" borderId="0" xfId="0" applyNumberFormat="1" applyFont="1" applyAlignment="1">
      <alignment horizontal="right" vertical="top" wrapText="1"/>
    </xf>
    <xf numFmtId="0" fontId="199" fillId="0" borderId="77" xfId="0" applyFont="1" applyBorder="1" applyAlignment="1">
      <alignment horizontal="right" wrapText="1"/>
    </xf>
    <xf numFmtId="0" fontId="65" fillId="0" borderId="0" xfId="0" applyFont="1" applyFill="1"/>
    <xf numFmtId="0" fontId="64" fillId="0" borderId="0" xfId="0" applyFont="1" applyFill="1" applyAlignment="1">
      <alignment horizontal="center"/>
    </xf>
    <xf numFmtId="0" fontId="64" fillId="0" borderId="0" xfId="0" applyFont="1" applyFill="1"/>
    <xf numFmtId="4" fontId="65" fillId="0" borderId="22" xfId="0" applyNumberFormat="1" applyFont="1" applyFill="1" applyBorder="1"/>
    <xf numFmtId="4" fontId="65" fillId="0" borderId="24" xfId="0" applyNumberFormat="1" applyFont="1" applyFill="1" applyBorder="1"/>
    <xf numFmtId="0" fontId="65" fillId="0" borderId="23" xfId="0" applyFont="1" applyFill="1" applyBorder="1"/>
    <xf numFmtId="0" fontId="65" fillId="0" borderId="22" xfId="0" applyFont="1" applyFill="1" applyBorder="1"/>
    <xf numFmtId="0" fontId="65" fillId="0" borderId="24" xfId="0" applyFont="1" applyFill="1" applyBorder="1"/>
    <xf numFmtId="0" fontId="65" fillId="0" borderId="0" xfId="0" applyFont="1" applyFill="1" applyAlignment="1">
      <alignment vertical="center" wrapText="1"/>
    </xf>
    <xf numFmtId="4" fontId="65" fillId="0" borderId="0" xfId="0" applyNumberFormat="1" applyFont="1" applyFill="1"/>
    <xf numFmtId="0" fontId="65" fillId="0" borderId="13" xfId="0" applyFont="1" applyFill="1" applyBorder="1"/>
    <xf numFmtId="0" fontId="201" fillId="0" borderId="14" xfId="0" applyFont="1" applyFill="1" applyBorder="1"/>
    <xf numFmtId="0" fontId="202" fillId="0" borderId="15" xfId="0" applyFont="1" applyFill="1" applyBorder="1"/>
    <xf numFmtId="0" fontId="202" fillId="0" borderId="17" xfId="0" applyFont="1" applyFill="1" applyBorder="1"/>
    <xf numFmtId="4" fontId="65" fillId="0" borderId="16" xfId="0" applyNumberFormat="1" applyFont="1" applyFill="1" applyBorder="1" applyAlignment="1">
      <alignment horizontal="center"/>
    </xf>
    <xf numFmtId="4" fontId="64" fillId="0" borderId="16" xfId="0" applyNumberFormat="1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43" fontId="65" fillId="0" borderId="0" xfId="0" applyNumberFormat="1" applyFont="1" applyFill="1"/>
    <xf numFmtId="9" fontId="65" fillId="0" borderId="0" xfId="0" applyNumberFormat="1" applyFont="1" applyFill="1"/>
    <xf numFmtId="0" fontId="93" fillId="0" borderId="0" xfId="0" applyFont="1" applyFill="1" applyAlignment="1">
      <alignment horizontal="left" vertical="center"/>
    </xf>
    <xf numFmtId="0" fontId="93" fillId="0" borderId="0" xfId="0" applyFont="1" applyFill="1" applyAlignment="1">
      <alignment horizontal="center" vertical="center"/>
    </xf>
    <xf numFmtId="49" fontId="93" fillId="0" borderId="0" xfId="0" applyNumberFormat="1" applyFont="1" applyFill="1" applyAlignment="1">
      <alignment horizontal="center" vertical="center"/>
    </xf>
    <xf numFmtId="0" fontId="64" fillId="0" borderId="16" xfId="0" applyFont="1" applyFill="1" applyBorder="1"/>
    <xf numFmtId="4" fontId="64" fillId="0" borderId="18" xfId="0" applyNumberFormat="1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5" fillId="0" borderId="17" xfId="0" applyFont="1" applyFill="1" applyBorder="1"/>
    <xf numFmtId="0" fontId="65" fillId="0" borderId="17" xfId="0" applyFont="1" applyFill="1" applyBorder="1" applyAlignment="1">
      <alignment horizontal="center"/>
    </xf>
    <xf numFmtId="4" fontId="65" fillId="0" borderId="17" xfId="0" applyNumberFormat="1" applyFont="1" applyFill="1" applyBorder="1" applyAlignment="1">
      <alignment horizontal="center"/>
    </xf>
    <xf numFmtId="4" fontId="65" fillId="0" borderId="17" xfId="0" applyNumberFormat="1" applyFont="1" applyFill="1" applyBorder="1"/>
    <xf numFmtId="4" fontId="65" fillId="0" borderId="17" xfId="0" applyNumberFormat="1" applyFont="1" applyFill="1" applyBorder="1" applyAlignment="1">
      <alignment horizontal="right"/>
    </xf>
    <xf numFmtId="43" fontId="65" fillId="0" borderId="17" xfId="0" applyNumberFormat="1" applyFont="1" applyFill="1" applyBorder="1"/>
    <xf numFmtId="0" fontId="203" fillId="0" borderId="17" xfId="0" applyFont="1" applyFill="1" applyBorder="1"/>
    <xf numFmtId="15" fontId="65" fillId="0" borderId="17" xfId="0" applyNumberFormat="1" applyFont="1" applyFill="1" applyBorder="1"/>
    <xf numFmtId="168" fontId="65" fillId="0" borderId="0" xfId="0" applyNumberFormat="1" applyFont="1" applyFill="1"/>
    <xf numFmtId="0" fontId="14" fillId="0" borderId="0" xfId="0" applyFont="1" applyFill="1" applyAlignment="1">
      <alignment horizontal="left" vertical="center"/>
    </xf>
    <xf numFmtId="0" fontId="87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87" fillId="0" borderId="0" xfId="0" applyFont="1" applyFill="1" applyAlignment="1" applyProtection="1">
      <alignment horizontal="center" vertical="center"/>
      <protection locked="0"/>
    </xf>
    <xf numFmtId="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4" fillId="0" borderId="0" xfId="0" applyFont="1" applyFill="1" applyAlignment="1">
      <alignment horizontal="center" vertical="center"/>
    </xf>
    <xf numFmtId="4" fontId="64" fillId="0" borderId="17" xfId="0" applyNumberFormat="1" applyFont="1" applyFill="1" applyBorder="1"/>
    <xf numFmtId="17" fontId="65" fillId="0" borderId="17" xfId="0" applyNumberFormat="1" applyFont="1" applyFill="1" applyBorder="1"/>
    <xf numFmtId="4" fontId="87" fillId="0" borderId="0" xfId="0" applyNumberFormat="1" applyFont="1" applyFill="1" applyAlignment="1" applyProtection="1">
      <alignment horizontal="center" vertical="center"/>
      <protection locked="0"/>
    </xf>
    <xf numFmtId="0" fontId="65" fillId="0" borderId="18" xfId="0" applyFont="1" applyFill="1" applyBorder="1"/>
    <xf numFmtId="0" fontId="65" fillId="0" borderId="18" xfId="0" applyFont="1" applyFill="1" applyBorder="1" applyAlignment="1">
      <alignment horizontal="center"/>
    </xf>
    <xf numFmtId="17" fontId="65" fillId="0" borderId="0" xfId="0" applyNumberFormat="1" applyFont="1" applyFill="1"/>
    <xf numFmtId="4" fontId="65" fillId="0" borderId="0" xfId="0" applyNumberFormat="1" applyFont="1" applyFill="1" applyAlignment="1">
      <alignment horizontal="center"/>
    </xf>
    <xf numFmtId="4" fontId="65" fillId="0" borderId="18" xfId="0" applyNumberFormat="1" applyFont="1" applyFill="1" applyBorder="1"/>
    <xf numFmtId="43" fontId="65" fillId="0" borderId="18" xfId="0" applyNumberFormat="1" applyFont="1" applyFill="1" applyBorder="1"/>
    <xf numFmtId="0" fontId="203" fillId="0" borderId="18" xfId="0" applyFont="1" applyFill="1" applyBorder="1"/>
    <xf numFmtId="15" fontId="65" fillId="0" borderId="18" xfId="0" applyNumberFormat="1" applyFont="1" applyFill="1" applyBorder="1"/>
    <xf numFmtId="4" fontId="64" fillId="0" borderId="18" xfId="0" applyNumberFormat="1" applyFont="1" applyFill="1" applyBorder="1" applyAlignment="1">
      <alignment horizontal="right"/>
    </xf>
    <xf numFmtId="4" fontId="64" fillId="0" borderId="0" xfId="0" applyNumberFormat="1" applyFont="1" applyFill="1" applyAlignment="1">
      <alignment horizontal="right"/>
    </xf>
    <xf numFmtId="0" fontId="64" fillId="0" borderId="0" xfId="0" applyFont="1" applyFill="1" applyAlignment="1">
      <alignment horizontal="right"/>
    </xf>
    <xf numFmtId="4" fontId="64" fillId="0" borderId="18" xfId="0" applyNumberFormat="1" applyFont="1" applyFill="1" applyBorder="1"/>
    <xf numFmtId="0" fontId="64" fillId="0" borderId="17" xfId="0" applyFont="1" applyFill="1" applyBorder="1"/>
    <xf numFmtId="0" fontId="64" fillId="0" borderId="17" xfId="0" applyFont="1" applyFill="1" applyBorder="1" applyAlignment="1">
      <alignment horizontal="center"/>
    </xf>
    <xf numFmtId="0" fontId="64" fillId="0" borderId="17" xfId="0" applyFont="1" applyFill="1" applyBorder="1" applyAlignment="1">
      <alignment horizontal="right"/>
    </xf>
    <xf numFmtId="43" fontId="64" fillId="0" borderId="17" xfId="0" applyNumberFormat="1" applyFont="1" applyFill="1" applyBorder="1"/>
    <xf numFmtId="0" fontId="64" fillId="0" borderId="0" xfId="0" applyFont="1" applyFill="1" applyAlignment="1">
      <alignment vertical="center" wrapText="1"/>
    </xf>
    <xf numFmtId="4" fontId="65" fillId="0" borderId="16" xfId="0" applyNumberFormat="1" applyFont="1" applyFill="1" applyBorder="1"/>
    <xf numFmtId="4" fontId="64" fillId="0" borderId="16" xfId="0" applyNumberFormat="1" applyFont="1" applyFill="1" applyBorder="1"/>
    <xf numFmtId="0" fontId="65" fillId="0" borderId="17" xfId="0" applyFont="1" applyFill="1" applyBorder="1" applyAlignment="1">
      <alignment horizontal="left"/>
    </xf>
    <xf numFmtId="4" fontId="65" fillId="0" borderId="17" xfId="0" applyNumberFormat="1" applyFont="1" applyFill="1" applyBorder="1" applyAlignment="1">
      <alignment horizontal="left"/>
    </xf>
    <xf numFmtId="0" fontId="64" fillId="0" borderId="23" xfId="0" applyFont="1" applyFill="1" applyBorder="1"/>
    <xf numFmtId="0" fontId="88" fillId="0" borderId="0" xfId="0" applyFont="1" applyFill="1" applyAlignment="1" applyProtection="1">
      <alignment horizontal="center" vertical="center"/>
      <protection locked="0"/>
    </xf>
    <xf numFmtId="4" fontId="65" fillId="0" borderId="10" xfId="0" applyNumberFormat="1" applyFont="1" applyFill="1" applyBorder="1"/>
    <xf numFmtId="0" fontId="64" fillId="0" borderId="11" xfId="0" applyFont="1" applyFill="1" applyBorder="1"/>
    <xf numFmtId="0" fontId="14" fillId="0" borderId="0" xfId="0" applyFont="1" applyFill="1" applyAlignment="1" applyProtection="1">
      <alignment horizontal="center" vertical="center"/>
      <protection locked="0"/>
    </xf>
    <xf numFmtId="4" fontId="14" fillId="0" borderId="0" xfId="0" applyNumberFormat="1" applyFont="1" applyFill="1" applyAlignment="1" applyProtection="1">
      <alignment horizontal="center" vertical="center"/>
      <protection locked="0"/>
    </xf>
    <xf numFmtId="4" fontId="65" fillId="0" borderId="15" xfId="0" applyNumberFormat="1" applyFont="1" applyFill="1" applyBorder="1"/>
    <xf numFmtId="4" fontId="64" fillId="0" borderId="10" xfId="0" applyNumberFormat="1" applyFont="1" applyFill="1" applyBorder="1"/>
    <xf numFmtId="0" fontId="205" fillId="0" borderId="0" xfId="0" applyFont="1" applyFill="1" applyAlignment="1">
      <alignment vertical="center" wrapText="1"/>
    </xf>
    <xf numFmtId="0" fontId="205" fillId="0" borderId="0" xfId="0" applyFont="1" applyFill="1"/>
    <xf numFmtId="0" fontId="14" fillId="0" borderId="0" xfId="0" applyFont="1" applyFill="1" applyAlignment="1">
      <alignment wrapText="1"/>
    </xf>
    <xf numFmtId="0" fontId="6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65" fillId="0" borderId="20" xfId="0" applyNumberFormat="1" applyFont="1" applyFill="1" applyBorder="1"/>
    <xf numFmtId="0" fontId="64" fillId="0" borderId="21" xfId="0" applyFont="1" applyFill="1" applyBorder="1"/>
    <xf numFmtId="4" fontId="64" fillId="0" borderId="15" xfId="0" applyNumberFormat="1" applyFont="1" applyFill="1" applyBorder="1"/>
    <xf numFmtId="0" fontId="87" fillId="0" borderId="0" xfId="0" applyFont="1" applyFill="1" applyAlignment="1" applyProtection="1">
      <alignment horizontal="left" vertical="center"/>
      <protection locked="0"/>
    </xf>
    <xf numFmtId="4" fontId="64" fillId="0" borderId="17" xfId="0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center"/>
    </xf>
    <xf numFmtId="4" fontId="64" fillId="0" borderId="0" xfId="0" applyNumberFormat="1" applyFont="1" applyFill="1" applyAlignment="1">
      <alignment horizontal="center"/>
    </xf>
    <xf numFmtId="4" fontId="64" fillId="0" borderId="0" xfId="0" applyNumberFormat="1" applyFont="1" applyFill="1"/>
    <xf numFmtId="0" fontId="65" fillId="0" borderId="20" xfId="0" applyFont="1" applyFill="1" applyBorder="1"/>
    <xf numFmtId="0" fontId="201" fillId="0" borderId="19" xfId="0" applyFont="1" applyFill="1" applyBorder="1"/>
    <xf numFmtId="0" fontId="202" fillId="0" borderId="21" xfId="0" applyFont="1" applyFill="1" applyBorder="1"/>
    <xf numFmtId="0" fontId="65" fillId="0" borderId="10" xfId="0" applyFont="1" applyFill="1" applyBorder="1"/>
    <xf numFmtId="0" fontId="87" fillId="0" borderId="0" xfId="0" applyFont="1" applyFill="1" applyAlignment="1">
      <alignment horizontal="left" vertical="center"/>
    </xf>
    <xf numFmtId="0" fontId="88" fillId="0" borderId="0" xfId="0" applyFont="1" applyFill="1" applyAlignment="1">
      <alignment horizontal="center" vertical="center"/>
    </xf>
    <xf numFmtId="16" fontId="65" fillId="0" borderId="17" xfId="0" applyNumberFormat="1" applyFont="1" applyFill="1" applyBorder="1" applyAlignment="1">
      <alignment horizontal="right"/>
    </xf>
    <xf numFmtId="2" fontId="14" fillId="0" borderId="0" xfId="0" applyNumberFormat="1" applyFont="1" applyFill="1" applyAlignment="1">
      <alignment horizontal="center" vertical="center"/>
    </xf>
    <xf numFmtId="4" fontId="64" fillId="0" borderId="17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87" fillId="0" borderId="0" xfId="0" applyNumberFormat="1" applyFont="1" applyFill="1" applyAlignment="1">
      <alignment horizontal="center" vertical="center"/>
    </xf>
    <xf numFmtId="4" fontId="64" fillId="0" borderId="11" xfId="0" applyNumberFormat="1" applyFont="1" applyFill="1" applyBorder="1" applyAlignment="1">
      <alignment horizontal="right"/>
    </xf>
    <xf numFmtId="4" fontId="64" fillId="0" borderId="10" xfId="0" applyNumberFormat="1" applyFont="1" applyFill="1" applyBorder="1" applyAlignment="1">
      <alignment horizontal="right"/>
    </xf>
    <xf numFmtId="180" fontId="65" fillId="0" borderId="0" xfId="0" applyNumberFormat="1" applyFont="1" applyFill="1"/>
    <xf numFmtId="43" fontId="65" fillId="0" borderId="0" xfId="0" applyNumberFormat="1" applyFont="1" applyFill="1" applyAlignment="1">
      <alignment vertical="center" wrapText="1"/>
    </xf>
    <xf numFmtId="4" fontId="65" fillId="0" borderId="0" xfId="0" applyNumberFormat="1" applyFont="1" applyFill="1" applyAlignment="1">
      <alignment horizontal="right"/>
    </xf>
    <xf numFmtId="4" fontId="65" fillId="0" borderId="13" xfId="0" applyNumberFormat="1" applyFont="1" applyFill="1" applyBorder="1"/>
    <xf numFmtId="49" fontId="204" fillId="0" borderId="0" xfId="0" applyNumberFormat="1" applyFont="1" applyFill="1" applyAlignment="1">
      <alignment horizontal="center" vertical="center"/>
    </xf>
    <xf numFmtId="10" fontId="65" fillId="0" borderId="0" xfId="0" applyNumberFormat="1" applyFont="1" applyFill="1"/>
    <xf numFmtId="4" fontId="88" fillId="0" borderId="0" xfId="0" applyNumberFormat="1" applyFont="1" applyFill="1" applyAlignment="1">
      <alignment horizontal="center" vertical="center"/>
    </xf>
    <xf numFmtId="0" fontId="64" fillId="0" borderId="18" xfId="0" applyFont="1" applyFill="1" applyBorder="1"/>
    <xf numFmtId="4" fontId="65" fillId="0" borderId="18" xfId="0" applyNumberFormat="1" applyFont="1" applyFill="1" applyBorder="1" applyAlignment="1">
      <alignment horizontal="center"/>
    </xf>
    <xf numFmtId="0" fontId="65" fillId="0" borderId="16" xfId="0" applyFont="1" applyFill="1" applyBorder="1"/>
    <xf numFmtId="4" fontId="65" fillId="0" borderId="16" xfId="0" applyNumberFormat="1" applyFont="1" applyFill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17" fontId="87" fillId="0" borderId="0" xfId="0" applyNumberFormat="1" applyFont="1" applyFill="1" applyAlignment="1" applyProtection="1">
      <alignment horizontal="center" vertical="center"/>
      <protection locked="0"/>
    </xf>
    <xf numFmtId="0" fontId="202" fillId="0" borderId="17" xfId="0" applyFont="1" applyFill="1" applyBorder="1" applyAlignment="1">
      <alignment horizontal="left"/>
    </xf>
    <xf numFmtId="0" fontId="65" fillId="0" borderId="15" xfId="0" applyFont="1" applyFill="1" applyBorder="1"/>
    <xf numFmtId="4" fontId="65" fillId="0" borderId="19" xfId="0" applyNumberFormat="1" applyFont="1" applyFill="1" applyBorder="1"/>
    <xf numFmtId="0" fontId="65" fillId="0" borderId="21" xfId="0" applyFont="1" applyFill="1" applyBorder="1"/>
    <xf numFmtId="0" fontId="65" fillId="0" borderId="19" xfId="0" applyFont="1" applyFill="1" applyBorder="1"/>
    <xf numFmtId="17" fontId="65" fillId="0" borderId="17" xfId="0" applyNumberFormat="1" applyFont="1" applyFill="1" applyBorder="1" applyAlignment="1">
      <alignment horizontal="left"/>
    </xf>
    <xf numFmtId="17" fontId="65" fillId="0" borderId="16" xfId="0" applyNumberFormat="1" applyFont="1" applyFill="1" applyBorder="1"/>
    <xf numFmtId="0" fontId="203" fillId="0" borderId="16" xfId="0" applyFont="1" applyFill="1" applyBorder="1"/>
    <xf numFmtId="15" fontId="65" fillId="0" borderId="16" xfId="0" applyNumberFormat="1" applyFont="1" applyFill="1" applyBorder="1"/>
    <xf numFmtId="17" fontId="64" fillId="0" borderId="17" xfId="0" applyNumberFormat="1" applyFont="1" applyFill="1" applyBorder="1" applyAlignment="1">
      <alignment horizontal="right"/>
    </xf>
    <xf numFmtId="0" fontId="205" fillId="0" borderId="17" xfId="0" applyFont="1" applyFill="1" applyBorder="1"/>
    <xf numFmtId="43" fontId="205" fillId="0" borderId="17" xfId="37" applyFont="1" applyFill="1" applyBorder="1"/>
    <xf numFmtId="0" fontId="65" fillId="0" borderId="17" xfId="0" applyFont="1" applyFill="1" applyBorder="1" applyAlignment="1">
      <alignment vertical="center" wrapText="1"/>
    </xf>
    <xf numFmtId="43" fontId="64" fillId="0" borderId="0" xfId="0" applyNumberFormat="1" applyFont="1" applyFill="1"/>
    <xf numFmtId="0" fontId="65" fillId="0" borderId="17" xfId="0" applyFont="1" applyFill="1" applyBorder="1" applyAlignment="1">
      <alignment horizontal="right"/>
    </xf>
    <xf numFmtId="0" fontId="34" fillId="0" borderId="0" xfId="31" applyFill="1" applyAlignment="1" applyProtection="1">
      <alignment vertical="center" wrapText="1"/>
    </xf>
    <xf numFmtId="4" fontId="205" fillId="0" borderId="0" xfId="0" applyNumberFormat="1" applyFont="1" applyFill="1"/>
    <xf numFmtId="0" fontId="206" fillId="0" borderId="0" xfId="0" applyFont="1" applyFill="1" applyAlignment="1">
      <alignment vertical="center" wrapText="1"/>
    </xf>
    <xf numFmtId="4" fontId="65" fillId="0" borderId="18" xfId="0" applyNumberFormat="1" applyFont="1" applyFill="1" applyBorder="1" applyAlignment="1">
      <alignment horizontal="right"/>
    </xf>
    <xf numFmtId="0" fontId="65" fillId="0" borderId="18" xfId="0" applyFont="1" applyFill="1" applyBorder="1" applyAlignment="1">
      <alignment horizontal="left"/>
    </xf>
    <xf numFmtId="0" fontId="64" fillId="0" borderId="16" xfId="0" applyFont="1" applyFill="1" applyBorder="1" applyAlignment="1">
      <alignment horizontal="right"/>
    </xf>
    <xf numFmtId="9" fontId="64" fillId="0" borderId="0" xfId="0" applyNumberFormat="1" applyFont="1" applyFill="1"/>
    <xf numFmtId="4" fontId="87" fillId="0" borderId="0" xfId="0" applyNumberFormat="1" applyFont="1" applyFill="1" applyAlignment="1">
      <alignment horizontal="center" vertical="center"/>
    </xf>
    <xf numFmtId="0" fontId="65" fillId="0" borderId="0" xfId="0" applyFont="1" applyFill="1" applyBorder="1"/>
    <xf numFmtId="4" fontId="93" fillId="0" borderId="0" xfId="0" applyNumberFormat="1" applyFont="1"/>
    <xf numFmtId="4" fontId="93" fillId="43" borderId="0" xfId="0" applyNumberFormat="1" applyFont="1" applyFill="1"/>
    <xf numFmtId="0" fontId="93" fillId="0" borderId="0" xfId="0" applyFont="1" applyAlignment="1">
      <alignment horizontal="center"/>
    </xf>
    <xf numFmtId="0" fontId="93" fillId="0" borderId="0" xfId="0" applyFont="1" applyAlignment="1">
      <alignment horizontal="right"/>
    </xf>
    <xf numFmtId="0" fontId="207" fillId="32" borderId="0" xfId="0" applyFont="1" applyFill="1" applyAlignment="1">
      <alignment horizontal="center" vertical="center" wrapText="1"/>
    </xf>
    <xf numFmtId="0" fontId="207" fillId="32" borderId="0" xfId="0" applyFont="1" applyFill="1" applyAlignment="1">
      <alignment horizontal="right" vertical="center" wrapText="1"/>
    </xf>
    <xf numFmtId="4" fontId="207" fillId="32" borderId="0" xfId="0" applyNumberFormat="1" applyFont="1" applyFill="1" applyAlignment="1">
      <alignment horizontal="center" vertical="center" wrapText="1"/>
    </xf>
    <xf numFmtId="164" fontId="207" fillId="32" borderId="0" xfId="47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3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5" fillId="34" borderId="10" xfId="0" applyFont="1" applyFill="1" applyBorder="1" applyAlignment="1">
      <alignment horizontal="center"/>
    </xf>
    <xf numFmtId="0" fontId="55" fillId="34" borderId="0" xfId="0" applyFont="1" applyFill="1" applyAlignment="1">
      <alignment horizontal="center"/>
    </xf>
    <xf numFmtId="0" fontId="55" fillId="34" borderId="13" xfId="0" applyFont="1" applyFill="1" applyBorder="1" applyAlignment="1">
      <alignment horizontal="center"/>
    </xf>
    <xf numFmtId="0" fontId="55" fillId="34" borderId="14" xfId="0" applyFont="1" applyFill="1" applyBorder="1" applyAlignment="1">
      <alignment horizontal="center"/>
    </xf>
    <xf numFmtId="0" fontId="55" fillId="34" borderId="15" xfId="0" applyFont="1" applyFill="1" applyBorder="1" applyAlignment="1">
      <alignment horizontal="center"/>
    </xf>
    <xf numFmtId="0" fontId="9" fillId="0" borderId="2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7" fontId="200" fillId="0" borderId="57" xfId="0" applyNumberFormat="1" applyFont="1" applyBorder="1" applyAlignment="1">
      <alignment horizontal="right" vertical="center" wrapText="1"/>
    </xf>
    <xf numFmtId="39" fontId="96" fillId="0" borderId="0" xfId="0" applyNumberFormat="1" applyFont="1" applyAlignment="1">
      <alignment horizontal="right" vertical="top" wrapText="1"/>
    </xf>
    <xf numFmtId="0" fontId="90" fillId="0" borderId="0" xfId="0" applyFont="1" applyAlignment="1">
      <alignment horizontal="right" vertical="top" wrapText="1"/>
    </xf>
    <xf numFmtId="0" fontId="136" fillId="0" borderId="0" xfId="0" applyFont="1" applyAlignment="1">
      <alignment horizontal="left" vertical="top" wrapText="1"/>
    </xf>
    <xf numFmtId="7" fontId="200" fillId="0" borderId="0" xfId="0" applyNumberFormat="1" applyFont="1" applyAlignment="1">
      <alignment horizontal="right" vertical="top" wrapText="1"/>
    </xf>
    <xf numFmtId="0" fontId="136" fillId="0" borderId="75" xfId="0" applyFont="1" applyBorder="1" applyAlignment="1">
      <alignment horizontal="left" vertical="top" wrapText="1"/>
    </xf>
    <xf numFmtId="0" fontId="199" fillId="0" borderId="76" xfId="0" applyFont="1" applyBorder="1" applyAlignment="1">
      <alignment horizontal="center" vertical="top" wrapText="1"/>
    </xf>
    <xf numFmtId="0" fontId="199" fillId="0" borderId="77" xfId="0" applyFont="1" applyBorder="1" applyAlignment="1">
      <alignment horizontal="left" wrapText="1"/>
    </xf>
    <xf numFmtId="0" fontId="199" fillId="0" borderId="77" xfId="0" applyFont="1" applyBorder="1" applyAlignment="1">
      <alignment horizontal="right" wrapText="1"/>
    </xf>
    <xf numFmtId="0" fontId="137" fillId="0" borderId="0" xfId="0" applyFont="1" applyAlignment="1">
      <alignment horizontal="left" wrapText="1"/>
    </xf>
    <xf numFmtId="0" fontId="135" fillId="0" borderId="0" xfId="0" applyFont="1" applyAlignment="1">
      <alignment horizontal="center" vertical="top" wrapText="1"/>
    </xf>
    <xf numFmtId="0" fontId="136" fillId="0" borderId="0" xfId="0" applyFont="1" applyAlignment="1">
      <alignment horizontal="right" vertical="center" wrapText="1"/>
    </xf>
    <xf numFmtId="0" fontId="136" fillId="0" borderId="0" xfId="0" applyFont="1" applyAlignment="1">
      <alignment horizontal="left" vertical="center" wrapText="1"/>
    </xf>
    <xf numFmtId="0" fontId="139" fillId="0" borderId="0" xfId="0" applyFont="1" applyAlignment="1">
      <alignment horizontal="center" vertical="top" wrapText="1"/>
    </xf>
    <xf numFmtId="0" fontId="90" fillId="0" borderId="0" xfId="0" applyFont="1" applyAlignment="1">
      <alignment horizontal="center" wrapText="1"/>
    </xf>
    <xf numFmtId="0" fontId="133" fillId="0" borderId="0" xfId="0" applyFont="1" applyAlignment="1">
      <alignment horizontal="center" vertical="top" wrapText="1"/>
    </xf>
    <xf numFmtId="0" fontId="198" fillId="0" borderId="0" xfId="0" applyFont="1" applyAlignment="1">
      <alignment horizontal="left" vertical="top" wrapText="1"/>
    </xf>
    <xf numFmtId="0" fontId="134" fillId="0" borderId="0" xfId="0" applyFont="1" applyAlignment="1">
      <alignment horizontal="center" vertical="top" wrapText="1"/>
    </xf>
    <xf numFmtId="0" fontId="48" fillId="30" borderId="13" xfId="0" applyFont="1" applyFill="1" applyBorder="1" applyAlignment="1">
      <alignment horizontal="left"/>
    </xf>
    <xf numFmtId="0" fontId="48" fillId="30" borderId="15" xfId="0" applyFont="1" applyFill="1" applyBorder="1" applyAlignment="1">
      <alignment horizontal="left"/>
    </xf>
    <xf numFmtId="0" fontId="8" fillId="26" borderId="13" xfId="0" applyFont="1" applyFill="1" applyBorder="1" applyAlignment="1">
      <alignment horizontal="left"/>
    </xf>
    <xf numFmtId="0" fontId="8" fillId="24" borderId="15" xfId="0" applyFont="1" applyFill="1" applyBorder="1" applyAlignment="1">
      <alignment horizontal="left"/>
    </xf>
    <xf numFmtId="0" fontId="8" fillId="26" borderId="15" xfId="0" applyFont="1" applyFill="1" applyBorder="1" applyAlignment="1">
      <alignment horizontal="left"/>
    </xf>
    <xf numFmtId="0" fontId="55" fillId="30" borderId="10" xfId="0" applyFont="1" applyFill="1" applyBorder="1" applyAlignment="1">
      <alignment horizontal="center"/>
    </xf>
    <xf numFmtId="0" fontId="55" fillId="30" borderId="0" xfId="0" applyFont="1" applyFill="1" applyAlignment="1">
      <alignment horizontal="center"/>
    </xf>
    <xf numFmtId="0" fontId="55" fillId="30" borderId="13" xfId="0" applyFont="1" applyFill="1" applyBorder="1" applyAlignment="1">
      <alignment horizontal="center"/>
    </xf>
    <xf numFmtId="0" fontId="55" fillId="30" borderId="14" xfId="0" applyFont="1" applyFill="1" applyBorder="1" applyAlignment="1">
      <alignment horizontal="center"/>
    </xf>
    <xf numFmtId="0" fontId="48" fillId="30" borderId="13" xfId="0" applyFont="1" applyFill="1" applyBorder="1" applyAlignment="1">
      <alignment horizontal="center"/>
    </xf>
    <xf numFmtId="0" fontId="48" fillId="30" borderId="15" xfId="0" applyFont="1" applyFill="1" applyBorder="1" applyAlignment="1">
      <alignment horizontal="center"/>
    </xf>
    <xf numFmtId="0" fontId="9" fillId="25" borderId="13" xfId="0" applyFont="1" applyFill="1" applyBorder="1" applyAlignment="1">
      <alignment horizontal="center"/>
    </xf>
    <xf numFmtId="0" fontId="9" fillId="25" borderId="14" xfId="0" applyFont="1" applyFill="1" applyBorder="1" applyAlignment="1">
      <alignment horizontal="center"/>
    </xf>
    <xf numFmtId="0" fontId="9" fillId="25" borderId="15" xfId="0" applyFont="1" applyFill="1" applyBorder="1" applyAlignment="1">
      <alignment horizontal="center"/>
    </xf>
    <xf numFmtId="0" fontId="51" fillId="34" borderId="14" xfId="49" applyFont="1" applyFill="1" applyBorder="1" applyAlignment="1">
      <alignment horizontal="center" vertical="center"/>
    </xf>
    <xf numFmtId="0" fontId="11" fillId="28" borderId="0" xfId="49" applyFont="1" applyFill="1" applyAlignment="1">
      <alignment horizontal="center"/>
    </xf>
    <xf numFmtId="0" fontId="10" fillId="28" borderId="0" xfId="82" applyFont="1" applyFill="1" applyAlignment="1">
      <alignment horizontal="left" vertical="top" wrapText="1"/>
    </xf>
    <xf numFmtId="0" fontId="11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 wrapText="1"/>
    </xf>
    <xf numFmtId="0" fontId="10" fillId="28" borderId="0" xfId="82" applyFont="1" applyFill="1" applyAlignment="1">
      <alignment horizontal="justify" vertical="top" wrapText="1"/>
    </xf>
    <xf numFmtId="0" fontId="75" fillId="28" borderId="0" xfId="82" applyFont="1" applyFill="1" applyAlignment="1">
      <alignment horizontal="left" vertical="top" wrapText="1"/>
    </xf>
    <xf numFmtId="0" fontId="10" fillId="28" borderId="0" xfId="82" applyFont="1" applyFill="1" applyAlignment="1" applyProtection="1">
      <alignment horizontal="center" vertical="top" wrapText="1"/>
      <protection locked="0"/>
    </xf>
    <xf numFmtId="0" fontId="75" fillId="28" borderId="0" xfId="82" applyFont="1" applyFill="1" applyAlignment="1">
      <alignment vertical="top" wrapText="1"/>
    </xf>
    <xf numFmtId="0" fontId="10" fillId="28" borderId="0" xfId="82" applyFont="1" applyFill="1" applyAlignment="1">
      <alignment horizontal="left" vertical="top"/>
    </xf>
    <xf numFmtId="0" fontId="10" fillId="28" borderId="19" xfId="82" applyFont="1" applyFill="1" applyBorder="1" applyAlignment="1" applyProtection="1">
      <alignment horizontal="center"/>
      <protection locked="0"/>
    </xf>
    <xf numFmtId="0" fontId="10" fillId="28" borderId="19" xfId="82" applyFont="1" applyFill="1" applyBorder="1" applyAlignment="1" applyProtection="1">
      <alignment horizontal="center" vertical="center"/>
      <protection locked="0"/>
    </xf>
    <xf numFmtId="0" fontId="71" fillId="28" borderId="24" xfId="82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0" fontId="11" fillId="38" borderId="42" xfId="0" applyFont="1" applyFill="1" applyBorder="1" applyAlignment="1" applyProtection="1">
      <alignment horizontal="center" vertical="center"/>
      <protection locked="0"/>
    </xf>
    <xf numFmtId="0" fontId="11" fillId="38" borderId="43" xfId="0" applyFont="1" applyFill="1" applyBorder="1" applyAlignment="1" applyProtection="1">
      <alignment horizontal="center" vertical="center"/>
      <protection locked="0"/>
    </xf>
    <xf numFmtId="0" fontId="11" fillId="38" borderId="44" xfId="0" applyFont="1" applyFill="1" applyBorder="1" applyAlignment="1" applyProtection="1">
      <alignment horizontal="center" vertical="center"/>
      <protection locked="0"/>
    </xf>
    <xf numFmtId="0" fontId="11" fillId="38" borderId="36" xfId="0" applyFont="1" applyFill="1" applyBorder="1" applyAlignment="1">
      <alignment horizontal="center" vertical="center" wrapText="1"/>
    </xf>
    <xf numFmtId="0" fontId="11" fillId="38" borderId="0" xfId="0" applyFont="1" applyFill="1" applyAlignment="1">
      <alignment horizontal="center" vertical="center" wrapText="1"/>
    </xf>
    <xf numFmtId="0" fontId="11" fillId="38" borderId="45" xfId="0" applyFont="1" applyFill="1" applyBorder="1" applyAlignment="1">
      <alignment horizontal="center" vertical="center" wrapText="1"/>
    </xf>
    <xf numFmtId="0" fontId="181" fillId="38" borderId="46" xfId="0" applyFont="1" applyFill="1" applyBorder="1" applyAlignment="1" applyProtection="1">
      <alignment horizontal="center" vertical="center" wrapText="1"/>
      <protection locked="0"/>
    </xf>
    <xf numFmtId="0" fontId="181" fillId="38" borderId="47" xfId="0" applyFont="1" applyFill="1" applyBorder="1" applyAlignment="1" applyProtection="1">
      <alignment horizontal="center" vertical="center" wrapText="1"/>
      <protection locked="0"/>
    </xf>
    <xf numFmtId="0" fontId="181" fillId="38" borderId="48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3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3" fillId="34" borderId="22" xfId="49" applyFont="1" applyFill="1" applyBorder="1" applyAlignment="1">
      <alignment horizontal="center" vertical="center"/>
    </xf>
    <xf numFmtId="0" fontId="73" fillId="34" borderId="10" xfId="49" applyFont="1" applyFill="1" applyBorder="1" applyAlignment="1">
      <alignment horizontal="center" vertical="center"/>
    </xf>
    <xf numFmtId="0" fontId="51" fillId="34" borderId="24" xfId="49" applyFont="1" applyFill="1" applyBorder="1" applyAlignment="1">
      <alignment horizontal="center" vertical="center"/>
    </xf>
    <xf numFmtId="0" fontId="51" fillId="34" borderId="0" xfId="49" applyFont="1" applyFill="1" applyAlignment="1">
      <alignment horizontal="center" vertical="center"/>
    </xf>
    <xf numFmtId="0" fontId="74" fillId="34" borderId="24" xfId="49" applyFont="1" applyFill="1" applyBorder="1" applyAlignment="1">
      <alignment horizontal="right" vertical="top"/>
    </xf>
    <xf numFmtId="0" fontId="74" fillId="34" borderId="0" xfId="49" applyFont="1" applyFill="1" applyAlignment="1">
      <alignment horizontal="right" vertical="top"/>
    </xf>
    <xf numFmtId="0" fontId="11" fillId="28" borderId="0" xfId="82" applyFont="1" applyFill="1" applyAlignment="1">
      <alignment horizontal="center"/>
    </xf>
    <xf numFmtId="0" fontId="11" fillId="28" borderId="0" xfId="84" applyNumberFormat="1" applyFont="1" applyFill="1" applyAlignment="1">
      <alignment horizontal="center" vertical="center"/>
    </xf>
    <xf numFmtId="0" fontId="79" fillId="0" borderId="36" xfId="0" applyFont="1" applyBorder="1" applyAlignment="1">
      <alignment horizontal="justify" vertical="center" wrapText="1"/>
    </xf>
    <xf numFmtId="0" fontId="79" fillId="0" borderId="0" xfId="0" applyFont="1" applyBorder="1" applyAlignment="1">
      <alignment horizontal="justify" vertical="center" wrapText="1"/>
    </xf>
    <xf numFmtId="0" fontId="76" fillId="38" borderId="42" xfId="0" applyFont="1" applyFill="1" applyBorder="1" applyAlignment="1" applyProtection="1">
      <alignment horizontal="center" vertical="center"/>
      <protection locked="0"/>
    </xf>
    <xf numFmtId="0" fontId="76" fillId="38" borderId="43" xfId="0" applyFont="1" applyFill="1" applyBorder="1" applyAlignment="1" applyProtection="1">
      <alignment horizontal="center" vertical="center"/>
      <protection locked="0"/>
    </xf>
    <xf numFmtId="0" fontId="76" fillId="38" borderId="44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0" fontId="10" fillId="0" borderId="36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47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6" xfId="0" applyFont="1" applyBorder="1" applyAlignment="1">
      <alignment horizontal="justify" vertical="center" wrapText="1"/>
    </xf>
    <xf numFmtId="49" fontId="139" fillId="39" borderId="42" xfId="0" applyNumberFormat="1" applyFont="1" applyFill="1" applyBorder="1" applyAlignment="1" applyProtection="1">
      <alignment horizontal="center" vertical="center"/>
      <protection locked="0"/>
    </xf>
    <xf numFmtId="49" fontId="139" fillId="39" borderId="43" xfId="0" applyNumberFormat="1" applyFont="1" applyFill="1" applyBorder="1" applyAlignment="1" applyProtection="1">
      <alignment horizontal="center" vertical="center"/>
      <protection locked="0"/>
    </xf>
    <xf numFmtId="49" fontId="139" fillId="39" borderId="44" xfId="0" applyNumberFormat="1" applyFont="1" applyFill="1" applyBorder="1" applyAlignment="1" applyProtection="1">
      <alignment horizontal="center" vertical="center"/>
      <protection locked="0"/>
    </xf>
    <xf numFmtId="49" fontId="139" fillId="39" borderId="36" xfId="0" applyNumberFormat="1" applyFont="1" applyFill="1" applyBorder="1" applyAlignment="1">
      <alignment horizontal="center" vertical="center"/>
    </xf>
    <xf numFmtId="49" fontId="139" fillId="39" borderId="0" xfId="0" applyNumberFormat="1" applyFont="1" applyFill="1" applyAlignment="1">
      <alignment horizontal="center" vertical="center"/>
    </xf>
    <xf numFmtId="49" fontId="139" fillId="39" borderId="45" xfId="0" applyNumberFormat="1" applyFont="1" applyFill="1" applyBorder="1" applyAlignment="1">
      <alignment horizontal="center" vertical="center"/>
    </xf>
    <xf numFmtId="49" fontId="187" fillId="39" borderId="36" xfId="0" applyNumberFormat="1" applyFont="1" applyFill="1" applyBorder="1" applyAlignment="1" applyProtection="1">
      <alignment horizontal="center" vertical="center"/>
      <protection locked="0"/>
    </xf>
    <xf numFmtId="49" fontId="187" fillId="39" borderId="0" xfId="0" applyNumberFormat="1" applyFont="1" applyFill="1" applyAlignment="1" applyProtection="1">
      <alignment horizontal="center" vertical="center"/>
      <protection locked="0"/>
    </xf>
    <xf numFmtId="49" fontId="187" fillId="39" borderId="45" xfId="0" applyNumberFormat="1" applyFont="1" applyFill="1" applyBorder="1" applyAlignment="1" applyProtection="1">
      <alignment horizontal="center" vertical="center"/>
      <protection locked="0"/>
    </xf>
    <xf numFmtId="49" fontId="139" fillId="39" borderId="46" xfId="0" applyNumberFormat="1" applyFont="1" applyFill="1" applyBorder="1" applyAlignment="1">
      <alignment horizontal="center" vertical="center"/>
    </xf>
    <xf numFmtId="49" fontId="139" fillId="39" borderId="47" xfId="0" applyNumberFormat="1" applyFont="1" applyFill="1" applyBorder="1" applyAlignment="1">
      <alignment horizontal="center" vertical="center"/>
    </xf>
    <xf numFmtId="49" fontId="139" fillId="39" borderId="48" xfId="0" applyNumberFormat="1" applyFont="1" applyFill="1" applyBorder="1" applyAlignment="1">
      <alignment horizontal="center" vertical="center"/>
    </xf>
    <xf numFmtId="0" fontId="10" fillId="28" borderId="19" xfId="82" applyFont="1" applyFill="1" applyBorder="1" applyAlignment="1">
      <alignment horizontal="left" vertical="top" wrapText="1"/>
    </xf>
    <xf numFmtId="0" fontId="11" fillId="25" borderId="42" xfId="49" applyFont="1" applyFill="1" applyBorder="1" applyAlignment="1" applyProtection="1">
      <alignment horizontal="center" vertical="center"/>
      <protection locked="0"/>
    </xf>
    <xf numFmtId="0" fontId="11" fillId="25" borderId="43" xfId="49" applyFont="1" applyFill="1" applyBorder="1" applyAlignment="1" applyProtection="1">
      <alignment horizontal="center" vertical="center"/>
      <protection locked="0"/>
    </xf>
    <xf numFmtId="0" fontId="11" fillId="25" borderId="44" xfId="49" applyFont="1" applyFill="1" applyBorder="1" applyAlignment="1" applyProtection="1">
      <alignment horizontal="center" vertical="center"/>
      <protection locked="0"/>
    </xf>
    <xf numFmtId="0" fontId="11" fillId="25" borderId="36" xfId="49" applyFont="1" applyFill="1" applyBorder="1" applyAlignment="1">
      <alignment horizontal="center" vertical="center"/>
    </xf>
    <xf numFmtId="0" fontId="11" fillId="25" borderId="0" xfId="49" applyFont="1" applyFill="1" applyAlignment="1">
      <alignment horizontal="center" vertical="center"/>
    </xf>
    <xf numFmtId="0" fontId="11" fillId="25" borderId="45" xfId="49" applyFont="1" applyFill="1" applyBorder="1" applyAlignment="1">
      <alignment horizontal="center" vertical="center"/>
    </xf>
    <xf numFmtId="0" fontId="181" fillId="25" borderId="46" xfId="49" applyFont="1" applyFill="1" applyBorder="1" applyAlignment="1" applyProtection="1">
      <alignment horizontal="center" vertical="center"/>
      <protection locked="0"/>
    </xf>
    <xf numFmtId="0" fontId="181" fillId="25" borderId="47" xfId="49" applyFont="1" applyFill="1" applyBorder="1" applyAlignment="1" applyProtection="1">
      <alignment horizontal="center" vertical="center"/>
      <protection locked="0"/>
    </xf>
    <xf numFmtId="0" fontId="181" fillId="25" borderId="48" xfId="49" applyFont="1" applyFill="1" applyBorder="1" applyAlignment="1" applyProtection="1">
      <alignment horizontal="center" vertical="center"/>
      <protection locked="0"/>
    </xf>
    <xf numFmtId="0" fontId="71" fillId="28" borderId="0" xfId="82" applyFont="1" applyFill="1" applyAlignment="1">
      <alignment horizontal="right"/>
    </xf>
    <xf numFmtId="0" fontId="71" fillId="28" borderId="0" xfId="82" applyFont="1" applyFill="1" applyAlignment="1">
      <alignment horizontal="left"/>
    </xf>
    <xf numFmtId="0" fontId="71" fillId="28" borderId="0" xfId="82" applyFont="1" applyFill="1" applyAlignment="1">
      <alignment horizontal="left" vertical="top"/>
    </xf>
    <xf numFmtId="0" fontId="51" fillId="34" borderId="24" xfId="49" applyFont="1" applyFill="1" applyBorder="1" applyAlignment="1">
      <alignment horizontal="center" vertical="center" wrapText="1"/>
    </xf>
    <xf numFmtId="0" fontId="51" fillId="34" borderId="19" xfId="49" applyFont="1" applyFill="1" applyBorder="1" applyAlignment="1">
      <alignment horizontal="center" vertical="center" wrapText="1"/>
    </xf>
    <xf numFmtId="0" fontId="11" fillId="28" borderId="10" xfId="84" applyNumberFormat="1" applyFont="1" applyFill="1" applyBorder="1" applyAlignment="1">
      <alignment horizontal="center" vertical="center"/>
    </xf>
    <xf numFmtId="0" fontId="11" fillId="28" borderId="11" xfId="84" applyNumberFormat="1" applyFont="1" applyFill="1" applyBorder="1" applyAlignment="1">
      <alignment horizontal="center" vertical="center"/>
    </xf>
    <xf numFmtId="0" fontId="11" fillId="28" borderId="10" xfId="84" applyNumberFormat="1" applyFont="1" applyFill="1" applyBorder="1" applyAlignment="1">
      <alignment horizontal="center" vertical="top"/>
    </xf>
    <xf numFmtId="0" fontId="11" fillId="28" borderId="0" xfId="84" applyNumberFormat="1" applyFont="1" applyFill="1" applyAlignment="1">
      <alignment horizontal="center" vertical="top"/>
    </xf>
    <xf numFmtId="0" fontId="11" fillId="28" borderId="11" xfId="84" applyNumberFormat="1" applyFont="1" applyFill="1" applyBorder="1" applyAlignment="1">
      <alignment horizontal="center" vertical="top"/>
    </xf>
    <xf numFmtId="0" fontId="76" fillId="28" borderId="0" xfId="82" applyFont="1" applyFill="1" applyAlignment="1">
      <alignment horizontal="left" vertical="top"/>
    </xf>
    <xf numFmtId="0" fontId="71" fillId="28" borderId="20" xfId="82" applyFont="1" applyFill="1" applyBorder="1" applyAlignment="1">
      <alignment horizontal="center" vertical="top"/>
    </xf>
    <xf numFmtId="0" fontId="71" fillId="28" borderId="19" xfId="82" applyFont="1" applyFill="1" applyBorder="1" applyAlignment="1">
      <alignment horizontal="center" vertical="top"/>
    </xf>
    <xf numFmtId="0" fontId="71" fillId="28" borderId="21" xfId="82" applyFont="1" applyFill="1" applyBorder="1" applyAlignment="1">
      <alignment horizontal="center" vertical="top"/>
    </xf>
    <xf numFmtId="0" fontId="71" fillId="28" borderId="0" xfId="82" applyFont="1" applyFill="1" applyAlignment="1" applyProtection="1">
      <alignment horizontal="center"/>
      <protection locked="0"/>
    </xf>
    <xf numFmtId="0" fontId="11" fillId="25" borderId="42" xfId="0" applyFont="1" applyFill="1" applyBorder="1" applyAlignment="1">
      <alignment horizontal="center" vertical="center" wrapText="1"/>
    </xf>
    <xf numFmtId="0" fontId="11" fillId="25" borderId="46" xfId="0" applyFont="1" applyFill="1" applyBorder="1" applyAlignment="1">
      <alignment horizontal="center" vertical="center" wrapText="1"/>
    </xf>
    <xf numFmtId="0" fontId="11" fillId="28" borderId="0" xfId="82" applyFont="1" applyFill="1" applyAlignment="1">
      <alignment horizontal="right"/>
    </xf>
    <xf numFmtId="0" fontId="10" fillId="28" borderId="0" xfId="82" applyFont="1" applyFill="1" applyAlignment="1">
      <alignment horizontal="left"/>
    </xf>
    <xf numFmtId="0" fontId="75" fillId="28" borderId="0" xfId="82" applyFont="1" applyFill="1" applyAlignment="1">
      <alignment horizontal="left" vertical="top"/>
    </xf>
    <xf numFmtId="0" fontId="11" fillId="28" borderId="0" xfId="82" applyFont="1" applyFill="1" applyAlignment="1">
      <alignment horizontal="left" vertical="top"/>
    </xf>
    <xf numFmtId="0" fontId="11" fillId="28" borderId="0" xfId="82" applyFont="1" applyFill="1" applyAlignment="1">
      <alignment horizontal="center" vertical="top"/>
    </xf>
    <xf numFmtId="0" fontId="75" fillId="28" borderId="19" xfId="82" applyFont="1" applyFill="1" applyBorder="1" applyAlignment="1">
      <alignment horizontal="left" vertical="top"/>
    </xf>
    <xf numFmtId="0" fontId="76" fillId="38" borderId="22" xfId="0" applyFont="1" applyFill="1" applyBorder="1" applyAlignment="1" applyProtection="1">
      <alignment horizontal="center" vertical="center"/>
      <protection locked="0"/>
    </xf>
    <xf numFmtId="0" fontId="76" fillId="38" borderId="24" xfId="0" applyFont="1" applyFill="1" applyBorder="1" applyAlignment="1" applyProtection="1">
      <alignment horizontal="center" vertical="center"/>
      <protection locked="0"/>
    </xf>
    <xf numFmtId="0" fontId="76" fillId="38" borderId="23" xfId="0" applyFont="1" applyFill="1" applyBorder="1" applyAlignment="1" applyProtection="1">
      <alignment horizontal="center" vertical="center"/>
      <protection locked="0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0" xfId="0" applyFont="1" applyFill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81" fillId="38" borderId="20" xfId="0" applyFont="1" applyFill="1" applyBorder="1" applyAlignment="1" applyProtection="1">
      <alignment horizontal="center" vertical="center" wrapText="1"/>
      <protection locked="0"/>
    </xf>
    <xf numFmtId="0" fontId="181" fillId="38" borderId="19" xfId="0" applyFont="1" applyFill="1" applyBorder="1" applyAlignment="1" applyProtection="1">
      <alignment horizontal="center" vertical="center" wrapText="1"/>
      <protection locked="0"/>
    </xf>
    <xf numFmtId="0" fontId="181" fillId="38" borderId="21" xfId="0" applyFont="1" applyFill="1" applyBorder="1" applyAlignment="1" applyProtection="1">
      <alignment horizontal="center" vertical="center" wrapText="1"/>
      <protection locked="0"/>
    </xf>
    <xf numFmtId="0" fontId="11" fillId="28" borderId="37" xfId="82" applyFont="1" applyFill="1" applyBorder="1" applyAlignment="1">
      <alignment horizontal="left" vertical="top"/>
    </xf>
    <xf numFmtId="0" fontId="76" fillId="28" borderId="0" xfId="82" applyFont="1" applyFill="1" applyAlignment="1">
      <alignment horizontal="left" vertical="top" wrapText="1"/>
    </xf>
    <xf numFmtId="0" fontId="71" fillId="28" borderId="0" xfId="82" applyFont="1" applyFill="1" applyAlignment="1">
      <alignment horizontal="left" vertical="top" wrapText="1"/>
    </xf>
    <xf numFmtId="0" fontId="11" fillId="28" borderId="19" xfId="82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71" fillId="28" borderId="0" xfId="82" applyFont="1" applyFill="1" applyAlignment="1" applyProtection="1">
      <alignment horizontal="left"/>
      <protection locked="0"/>
    </xf>
    <xf numFmtId="0" fontId="10" fillId="28" borderId="0" xfId="82" applyFont="1" applyFill="1" applyAlignment="1" applyProtection="1">
      <alignment horizontal="left"/>
      <protection locked="0"/>
    </xf>
    <xf numFmtId="0" fontId="71" fillId="28" borderId="0" xfId="82" applyFont="1" applyFill="1" applyAlignment="1" applyProtection="1">
      <alignment horizontal="right"/>
      <protection locked="0"/>
    </xf>
    <xf numFmtId="0" fontId="11" fillId="39" borderId="22" xfId="0" applyFont="1" applyFill="1" applyBorder="1" applyAlignment="1" applyProtection="1">
      <alignment horizontal="center" vertical="center" wrapText="1"/>
      <protection locked="0"/>
    </xf>
    <xf numFmtId="0" fontId="11" fillId="39" borderId="24" xfId="0" applyFont="1" applyFill="1" applyBorder="1" applyAlignment="1" applyProtection="1">
      <alignment horizontal="center" vertical="center" wrapText="1"/>
      <protection locked="0"/>
    </xf>
    <xf numFmtId="0" fontId="11" fillId="39" borderId="23" xfId="0" applyFont="1" applyFill="1" applyBorder="1" applyAlignment="1" applyProtection="1">
      <alignment horizontal="center" vertical="center" wrapText="1"/>
      <protection locked="0"/>
    </xf>
    <xf numFmtId="0" fontId="181" fillId="39" borderId="10" xfId="0" applyFont="1" applyFill="1" applyBorder="1" applyAlignment="1" applyProtection="1">
      <alignment horizontal="center" vertical="center" wrapText="1"/>
      <protection locked="0"/>
    </xf>
    <xf numFmtId="0" fontId="181" fillId="39" borderId="0" xfId="0" applyFont="1" applyFill="1" applyAlignment="1" applyProtection="1">
      <alignment horizontal="center" vertical="center" wrapText="1"/>
      <protection locked="0"/>
    </xf>
    <xf numFmtId="0" fontId="181" fillId="39" borderId="11" xfId="0" applyFont="1" applyFill="1" applyBorder="1" applyAlignment="1" applyProtection="1">
      <alignment horizontal="center" vertical="center" wrapText="1"/>
      <protection locked="0"/>
    </xf>
    <xf numFmtId="0" fontId="51" fillId="34" borderId="14" xfId="82" applyFont="1" applyFill="1" applyBorder="1" applyAlignment="1">
      <alignment horizontal="center" vertical="center"/>
    </xf>
    <xf numFmtId="0" fontId="11" fillId="28" borderId="0" xfId="49" applyFont="1" applyFill="1" applyAlignment="1">
      <alignment horizontal="left" vertical="top"/>
    </xf>
    <xf numFmtId="0" fontId="10" fillId="28" borderId="0" xfId="49" applyFont="1" applyFill="1" applyAlignment="1">
      <alignment horizontal="left" vertical="top"/>
    </xf>
    <xf numFmtId="0" fontId="10" fillId="28" borderId="0" xfId="49" applyFont="1" applyFill="1" applyAlignment="1">
      <alignment horizontal="left" vertical="top" wrapText="1"/>
    </xf>
    <xf numFmtId="0" fontId="11" fillId="28" borderId="0" xfId="49" applyFont="1" applyFill="1" applyAlignment="1">
      <alignment horizontal="left" vertical="top" wrapText="1"/>
    </xf>
    <xf numFmtId="0" fontId="10" fillId="0" borderId="36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45" xfId="0" applyFont="1" applyBorder="1" applyAlignment="1">
      <alignment horizontal="justify" vertical="center"/>
    </xf>
    <xf numFmtId="0" fontId="10" fillId="0" borderId="46" xfId="0" applyFont="1" applyBorder="1" applyAlignment="1">
      <alignment horizontal="justify" vertical="center"/>
    </xf>
    <xf numFmtId="0" fontId="10" fillId="0" borderId="47" xfId="0" applyFont="1" applyBorder="1" applyAlignment="1">
      <alignment horizontal="justify" vertical="center"/>
    </xf>
    <xf numFmtId="0" fontId="10" fillId="0" borderId="48" xfId="0" applyFont="1" applyBorder="1" applyAlignment="1">
      <alignment horizontal="justify" vertical="center"/>
    </xf>
    <xf numFmtId="0" fontId="76" fillId="25" borderId="42" xfId="0" applyFont="1" applyFill="1" applyBorder="1" applyAlignment="1" applyProtection="1">
      <alignment horizontal="center" vertical="center"/>
      <protection locked="0"/>
    </xf>
    <xf numFmtId="0" fontId="76" fillId="25" borderId="43" xfId="0" applyFont="1" applyFill="1" applyBorder="1" applyAlignment="1" applyProtection="1">
      <alignment horizontal="center" vertical="center"/>
      <protection locked="0"/>
    </xf>
    <xf numFmtId="0" fontId="76" fillId="25" borderId="44" xfId="0" applyFont="1" applyFill="1" applyBorder="1" applyAlignment="1" applyProtection="1">
      <alignment horizontal="center" vertical="center"/>
      <protection locked="0"/>
    </xf>
    <xf numFmtId="0" fontId="11" fillId="25" borderId="36" xfId="0" applyFont="1" applyFill="1" applyBorder="1" applyAlignment="1">
      <alignment horizontal="center" vertical="center"/>
    </xf>
    <xf numFmtId="0" fontId="11" fillId="25" borderId="0" xfId="0" applyFont="1" applyFill="1" applyAlignment="1">
      <alignment horizontal="center" vertical="center"/>
    </xf>
    <xf numFmtId="0" fontId="11" fillId="25" borderId="45" xfId="0" applyFont="1" applyFill="1" applyBorder="1" applyAlignment="1">
      <alignment horizontal="center" vertical="center"/>
    </xf>
    <xf numFmtId="0" fontId="181" fillId="25" borderId="36" xfId="0" applyFont="1" applyFill="1" applyBorder="1" applyAlignment="1" applyProtection="1">
      <alignment horizontal="center" vertical="center"/>
      <protection locked="0"/>
    </xf>
    <xf numFmtId="0" fontId="181" fillId="25" borderId="0" xfId="0" applyFont="1" applyFill="1" applyAlignment="1" applyProtection="1">
      <alignment horizontal="center" vertical="center"/>
      <protection locked="0"/>
    </xf>
    <xf numFmtId="0" fontId="181" fillId="25" borderId="45" xfId="0" applyFont="1" applyFill="1" applyBorder="1" applyAlignment="1" applyProtection="1">
      <alignment horizontal="center" vertical="center"/>
      <protection locked="0"/>
    </xf>
    <xf numFmtId="0" fontId="56" fillId="34" borderId="22" xfId="82" applyFont="1" applyFill="1" applyBorder="1" applyAlignment="1">
      <alignment horizontal="center"/>
    </xf>
    <xf numFmtId="0" fontId="56" fillId="34" borderId="24" xfId="82" applyFont="1" applyFill="1" applyBorder="1" applyAlignment="1">
      <alignment horizontal="center"/>
    </xf>
    <xf numFmtId="0" fontId="56" fillId="34" borderId="23" xfId="82" applyFont="1" applyFill="1" applyBorder="1" applyAlignment="1">
      <alignment horizontal="center"/>
    </xf>
    <xf numFmtId="0" fontId="56" fillId="34" borderId="10" xfId="82" applyFont="1" applyFill="1" applyBorder="1" applyAlignment="1">
      <alignment horizontal="center"/>
    </xf>
    <xf numFmtId="0" fontId="56" fillId="34" borderId="0" xfId="82" applyFont="1" applyFill="1" applyAlignment="1">
      <alignment horizontal="center"/>
    </xf>
    <xf numFmtId="0" fontId="56" fillId="34" borderId="11" xfId="82" applyFont="1" applyFill="1" applyBorder="1" applyAlignment="1">
      <alignment horizontal="center"/>
    </xf>
    <xf numFmtId="0" fontId="56" fillId="34" borderId="20" xfId="82" applyFont="1" applyFill="1" applyBorder="1" applyAlignment="1">
      <alignment horizontal="center"/>
    </xf>
    <xf numFmtId="0" fontId="56" fillId="34" borderId="19" xfId="82" applyFont="1" applyFill="1" applyBorder="1" applyAlignment="1">
      <alignment horizontal="center"/>
    </xf>
    <xf numFmtId="0" fontId="56" fillId="34" borderId="21" xfId="82" applyFont="1" applyFill="1" applyBorder="1" applyAlignment="1">
      <alignment horizontal="center"/>
    </xf>
    <xf numFmtId="37" fontId="56" fillId="34" borderId="17" xfId="85" applyNumberFormat="1" applyFont="1" applyFill="1" applyBorder="1" applyAlignment="1">
      <alignment horizontal="center" vertical="center"/>
    </xf>
    <xf numFmtId="37" fontId="56" fillId="34" borderId="17" xfId="85" applyNumberFormat="1" applyFont="1" applyFill="1" applyBorder="1" applyAlignment="1">
      <alignment horizontal="center" vertical="center" wrapText="1"/>
    </xf>
    <xf numFmtId="0" fontId="90" fillId="28" borderId="0" xfId="82" applyFont="1" applyFill="1" applyAlignment="1">
      <alignment horizontal="left" vertical="center" wrapText="1"/>
    </xf>
    <xf numFmtId="0" fontId="90" fillId="28" borderId="11" xfId="82" applyFont="1" applyFill="1" applyBorder="1" applyAlignment="1">
      <alignment horizontal="left" vertical="center" wrapText="1"/>
    </xf>
    <xf numFmtId="0" fontId="90" fillId="28" borderId="10" xfId="82" applyFont="1" applyFill="1" applyBorder="1" applyAlignment="1">
      <alignment horizontal="left" vertical="center" wrapText="1"/>
    </xf>
    <xf numFmtId="174" fontId="90" fillId="28" borderId="16" xfId="83" applyNumberFormat="1" applyFont="1" applyFill="1" applyBorder="1" applyAlignment="1">
      <alignment horizontal="right" vertical="center" wrapText="1"/>
    </xf>
    <xf numFmtId="174" fontId="90" fillId="28" borderId="18" xfId="83" applyNumberFormat="1" applyFont="1" applyFill="1" applyBorder="1" applyAlignment="1">
      <alignment horizontal="right" vertical="center" wrapText="1"/>
    </xf>
    <xf numFmtId="0" fontId="63" fillId="0" borderId="13" xfId="82" applyFont="1" applyBorder="1" applyAlignment="1">
      <alignment horizontal="center" vertical="top" wrapText="1"/>
    </xf>
    <xf numFmtId="0" fontId="63" fillId="0" borderId="15" xfId="82" applyFont="1" applyBorder="1" applyAlignment="1">
      <alignment horizontal="center" vertical="top" wrapText="1"/>
    </xf>
    <xf numFmtId="37" fontId="56" fillId="30" borderId="17" xfId="85" applyNumberFormat="1" applyFont="1" applyFill="1" applyBorder="1" applyAlignment="1">
      <alignment horizontal="center" vertical="center" wrapText="1"/>
    </xf>
    <xf numFmtId="37" fontId="56" fillId="30" borderId="17" xfId="85" applyNumberFormat="1" applyFont="1" applyFill="1" applyBorder="1" applyAlignment="1">
      <alignment horizontal="center" vertical="center"/>
    </xf>
    <xf numFmtId="0" fontId="14" fillId="28" borderId="0" xfId="82" applyFont="1" applyFill="1" applyAlignment="1">
      <alignment horizontal="left" vertical="top" wrapText="1"/>
    </xf>
    <xf numFmtId="174" fontId="91" fillId="28" borderId="16" xfId="85" applyNumberFormat="1" applyFont="1" applyFill="1" applyBorder="1" applyAlignment="1">
      <alignment horizontal="center"/>
    </xf>
    <xf numFmtId="174" fontId="91" fillId="28" borderId="18" xfId="85" applyNumberFormat="1" applyFont="1" applyFill="1" applyBorder="1" applyAlignment="1">
      <alignment horizontal="center"/>
    </xf>
    <xf numFmtId="4" fontId="139" fillId="0" borderId="16" xfId="0" applyNumberFormat="1" applyFont="1" applyBorder="1" applyAlignment="1">
      <alignment horizontal="right" vertical="center"/>
    </xf>
    <xf numFmtId="4" fontId="139" fillId="0" borderId="18" xfId="0" applyNumberFormat="1" applyFont="1" applyBorder="1" applyAlignment="1">
      <alignment horizontal="right" vertical="center"/>
    </xf>
    <xf numFmtId="4" fontId="139" fillId="0" borderId="13" xfId="0" applyNumberFormat="1" applyFont="1" applyBorder="1" applyAlignment="1">
      <alignment horizontal="center" vertical="center" wrapText="1"/>
    </xf>
    <xf numFmtId="4" fontId="139" fillId="0" borderId="15" xfId="0" applyNumberFormat="1" applyFont="1" applyBorder="1" applyAlignment="1">
      <alignment horizontal="center" vertical="center" wrapText="1"/>
    </xf>
    <xf numFmtId="49" fontId="139" fillId="39" borderId="22" xfId="0" applyNumberFormat="1" applyFont="1" applyFill="1" applyBorder="1" applyAlignment="1" applyProtection="1">
      <alignment horizontal="center" vertical="center"/>
      <protection locked="0"/>
    </xf>
    <xf numFmtId="49" fontId="139" fillId="39" borderId="24" xfId="0" applyNumberFormat="1" applyFont="1" applyFill="1" applyBorder="1" applyAlignment="1" applyProtection="1">
      <alignment horizontal="center" vertical="center"/>
      <protection locked="0"/>
    </xf>
    <xf numFmtId="49" fontId="139" fillId="39" borderId="23" xfId="0" applyNumberFormat="1" applyFont="1" applyFill="1" applyBorder="1" applyAlignment="1" applyProtection="1">
      <alignment horizontal="center" vertical="center"/>
      <protection locked="0"/>
    </xf>
    <xf numFmtId="49" fontId="139" fillId="39" borderId="10" xfId="0" applyNumberFormat="1" applyFont="1" applyFill="1" applyBorder="1" applyAlignment="1">
      <alignment horizontal="center" vertical="center"/>
    </xf>
    <xf numFmtId="49" fontId="139" fillId="39" borderId="11" xfId="0" applyNumberFormat="1" applyFont="1" applyFill="1" applyBorder="1" applyAlignment="1">
      <alignment horizontal="center" vertical="center"/>
    </xf>
    <xf numFmtId="49" fontId="187" fillId="39" borderId="20" xfId="0" applyNumberFormat="1" applyFont="1" applyFill="1" applyBorder="1" applyAlignment="1" applyProtection="1">
      <alignment horizontal="center" vertical="center"/>
      <protection locked="0"/>
    </xf>
    <xf numFmtId="49" fontId="187" fillId="39" borderId="19" xfId="0" applyNumberFormat="1" applyFont="1" applyFill="1" applyBorder="1" applyAlignment="1" applyProtection="1">
      <alignment horizontal="center" vertical="center"/>
      <protection locked="0"/>
    </xf>
    <xf numFmtId="49" fontId="187" fillId="39" borderId="21" xfId="0" applyNumberFormat="1" applyFont="1" applyFill="1" applyBorder="1" applyAlignment="1" applyProtection="1">
      <alignment horizontal="center" vertical="center"/>
      <protection locked="0"/>
    </xf>
    <xf numFmtId="49" fontId="139" fillId="39" borderId="16" xfId="0" applyNumberFormat="1" applyFont="1" applyFill="1" applyBorder="1" applyAlignment="1">
      <alignment horizontal="center" vertical="center" wrapText="1"/>
    </xf>
    <xf numFmtId="49" fontId="139" fillId="39" borderId="12" xfId="0" applyNumberFormat="1" applyFont="1" applyFill="1" applyBorder="1" applyAlignment="1">
      <alignment horizontal="center" vertical="center" wrapText="1"/>
    </xf>
    <xf numFmtId="49" fontId="139" fillId="39" borderId="18" xfId="0" applyNumberFormat="1" applyFont="1" applyFill="1" applyBorder="1" applyAlignment="1">
      <alignment horizontal="center" vertical="center" wrapText="1"/>
    </xf>
    <xf numFmtId="49" fontId="139" fillId="39" borderId="22" xfId="0" applyNumberFormat="1" applyFont="1" applyFill="1" applyBorder="1" applyAlignment="1">
      <alignment horizontal="center" vertical="center"/>
    </xf>
    <xf numFmtId="49" fontId="139" fillId="39" borderId="24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9" fontId="11" fillId="39" borderId="10" xfId="0" applyNumberFormat="1" applyFont="1" applyFill="1" applyBorder="1" applyAlignment="1">
      <alignment horizontal="center" vertical="center"/>
    </xf>
    <xf numFmtId="49" fontId="11" fillId="39" borderId="0" xfId="0" applyNumberFormat="1" applyFont="1" applyFill="1" applyAlignment="1">
      <alignment horizontal="center" vertical="center"/>
    </xf>
    <xf numFmtId="49" fontId="11" fillId="39" borderId="11" xfId="0" applyNumberFormat="1" applyFont="1" applyFill="1" applyBorder="1" applyAlignment="1">
      <alignment horizontal="center" vertical="center"/>
    </xf>
    <xf numFmtId="49" fontId="11" fillId="39" borderId="16" xfId="0" applyNumberFormat="1" applyFont="1" applyFill="1" applyBorder="1" applyAlignment="1">
      <alignment horizontal="center" vertical="center" wrapText="1"/>
    </xf>
    <xf numFmtId="49" fontId="11" fillId="39" borderId="12" xfId="0" applyNumberFormat="1" applyFont="1" applyFill="1" applyBorder="1" applyAlignment="1">
      <alignment horizontal="center" vertical="center" wrapText="1"/>
    </xf>
    <xf numFmtId="49" fontId="11" fillId="39" borderId="18" xfId="0" applyNumberFormat="1" applyFont="1" applyFill="1" applyBorder="1" applyAlignment="1">
      <alignment horizontal="center" vertical="center" wrapText="1"/>
    </xf>
    <xf numFmtId="49" fontId="11" fillId="39" borderId="13" xfId="0" applyNumberFormat="1" applyFont="1" applyFill="1" applyBorder="1" applyAlignment="1">
      <alignment horizontal="center" vertical="center"/>
    </xf>
    <xf numFmtId="49" fontId="11" fillId="39" borderId="14" xfId="0" applyNumberFormat="1" applyFont="1" applyFill="1" applyBorder="1" applyAlignment="1">
      <alignment horizontal="center" vertical="center"/>
    </xf>
    <xf numFmtId="49" fontId="11" fillId="39" borderId="15" xfId="0" applyNumberFormat="1" applyFont="1" applyFill="1" applyBorder="1" applyAlignment="1">
      <alignment horizontal="center" vertical="center"/>
    </xf>
    <xf numFmtId="0" fontId="139" fillId="0" borderId="13" xfId="0" applyFont="1" applyBorder="1" applyAlignment="1">
      <alignment horizontal="center" vertical="center" wrapText="1"/>
    </xf>
    <xf numFmtId="0" fontId="13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39" fillId="39" borderId="20" xfId="0" applyNumberFormat="1" applyFont="1" applyFill="1" applyBorder="1" applyAlignment="1">
      <alignment horizontal="center" vertical="center"/>
    </xf>
    <xf numFmtId="49" fontId="139" fillId="39" borderId="13" xfId="0" applyNumberFormat="1" applyFont="1" applyFill="1" applyBorder="1" applyAlignment="1">
      <alignment horizontal="center" vertical="center"/>
    </xf>
    <xf numFmtId="49" fontId="139" fillId="39" borderId="14" xfId="0" applyNumberFormat="1" applyFont="1" applyFill="1" applyBorder="1" applyAlignment="1">
      <alignment horizontal="center" vertical="center"/>
    </xf>
    <xf numFmtId="49" fontId="139" fillId="39" borderId="15" xfId="0" applyNumberFormat="1" applyFont="1" applyFill="1" applyBorder="1" applyAlignment="1">
      <alignment horizontal="center" vertical="center"/>
    </xf>
    <xf numFmtId="49" fontId="139" fillId="39" borderId="23" xfId="0" applyNumberFormat="1" applyFont="1" applyFill="1" applyBorder="1" applyAlignment="1">
      <alignment horizontal="center" vertical="center" wrapText="1"/>
    </xf>
    <xf numFmtId="49" fontId="139" fillId="39" borderId="11" xfId="0" applyNumberFormat="1" applyFont="1" applyFill="1" applyBorder="1" applyAlignment="1">
      <alignment horizontal="center" vertical="center" wrapText="1"/>
    </xf>
    <xf numFmtId="4" fontId="76" fillId="0" borderId="45" xfId="33" applyNumberFormat="1" applyFont="1" applyFill="1" applyBorder="1" applyAlignment="1" applyProtection="1">
      <alignment horizontal="right" vertical="center"/>
    </xf>
    <xf numFmtId="49" fontId="76" fillId="25" borderId="42" xfId="0" applyNumberFormat="1" applyFont="1" applyFill="1" applyBorder="1" applyAlignment="1" applyProtection="1">
      <alignment horizontal="center" vertical="center"/>
      <protection locked="0"/>
    </xf>
    <xf numFmtId="49" fontId="76" fillId="25" borderId="43" xfId="0" applyNumberFormat="1" applyFont="1" applyFill="1" applyBorder="1" applyAlignment="1" applyProtection="1">
      <alignment horizontal="center" vertical="center"/>
      <protection locked="0"/>
    </xf>
    <xf numFmtId="49" fontId="76" fillId="25" borderId="44" xfId="0" applyNumberFormat="1" applyFont="1" applyFill="1" applyBorder="1" applyAlignment="1" applyProtection="1">
      <alignment horizontal="center" vertical="center"/>
      <protection locked="0"/>
    </xf>
    <xf numFmtId="49" fontId="76" fillId="25" borderId="36" xfId="0" applyNumberFormat="1" applyFont="1" applyFill="1" applyBorder="1" applyAlignment="1">
      <alignment horizontal="center" vertical="center"/>
    </xf>
    <xf numFmtId="49" fontId="76" fillId="25" borderId="0" xfId="0" applyNumberFormat="1" applyFont="1" applyFill="1" applyAlignment="1">
      <alignment horizontal="center" vertical="center"/>
    </xf>
    <xf numFmtId="49" fontId="76" fillId="25" borderId="45" xfId="0" applyNumberFormat="1" applyFont="1" applyFill="1" applyBorder="1" applyAlignment="1">
      <alignment horizontal="center" vertical="center"/>
    </xf>
    <xf numFmtId="49" fontId="76" fillId="25" borderId="36" xfId="0" applyNumberFormat="1" applyFont="1" applyFill="1" applyBorder="1" applyAlignment="1" applyProtection="1">
      <alignment horizontal="center" vertical="center"/>
      <protection locked="0"/>
    </xf>
    <xf numFmtId="49" fontId="76" fillId="25" borderId="0" xfId="0" applyNumberFormat="1" applyFont="1" applyFill="1" applyAlignment="1" applyProtection="1">
      <alignment horizontal="center" vertical="center"/>
      <protection locked="0"/>
    </xf>
    <xf numFmtId="49" fontId="76" fillId="25" borderId="45" xfId="0" applyNumberFormat="1" applyFont="1" applyFill="1" applyBorder="1" applyAlignment="1" applyProtection="1">
      <alignment horizontal="center" vertical="center"/>
      <protection locked="0"/>
    </xf>
    <xf numFmtId="49" fontId="76" fillId="25" borderId="46" xfId="0" applyNumberFormat="1" applyFont="1" applyFill="1" applyBorder="1" applyAlignment="1">
      <alignment horizontal="center" vertical="center"/>
    </xf>
    <xf numFmtId="49" fontId="76" fillId="25" borderId="47" xfId="0" applyNumberFormat="1" applyFont="1" applyFill="1" applyBorder="1" applyAlignment="1">
      <alignment horizontal="center" vertical="center"/>
    </xf>
    <xf numFmtId="49" fontId="76" fillId="25" borderId="48" xfId="0" applyNumberFormat="1" applyFont="1" applyFill="1" applyBorder="1" applyAlignment="1">
      <alignment horizontal="center" vertical="center"/>
    </xf>
    <xf numFmtId="49" fontId="76" fillId="25" borderId="62" xfId="0" applyNumberFormat="1" applyFont="1" applyFill="1" applyBorder="1" applyAlignment="1">
      <alignment horizontal="center" vertical="center"/>
    </xf>
    <xf numFmtId="49" fontId="76" fillId="25" borderId="63" xfId="0" applyNumberFormat="1" applyFont="1" applyFill="1" applyBorder="1" applyAlignment="1">
      <alignment horizontal="center" vertical="center"/>
    </xf>
    <xf numFmtId="49" fontId="76" fillId="25" borderId="26" xfId="0" applyNumberFormat="1" applyFont="1" applyFill="1" applyBorder="1" applyAlignment="1">
      <alignment horizontal="center" vertical="center"/>
    </xf>
    <xf numFmtId="49" fontId="76" fillId="25" borderId="28" xfId="0" applyNumberFormat="1" applyFont="1" applyFill="1" applyBorder="1" applyAlignment="1">
      <alignment horizontal="center" vertical="center"/>
    </xf>
    <xf numFmtId="49" fontId="76" fillId="25" borderId="27" xfId="0" applyNumberFormat="1" applyFont="1" applyFill="1" applyBorder="1" applyAlignment="1">
      <alignment horizontal="center" vertical="center"/>
    </xf>
    <xf numFmtId="49" fontId="76" fillId="25" borderId="62" xfId="0" applyNumberFormat="1" applyFont="1" applyFill="1" applyBorder="1" applyAlignment="1">
      <alignment horizontal="center" vertical="center" wrapText="1"/>
    </xf>
    <xf numFmtId="49" fontId="76" fillId="25" borderId="63" xfId="0" applyNumberFormat="1" applyFont="1" applyFill="1" applyBorder="1" applyAlignment="1">
      <alignment horizontal="center" vertical="center" wrapText="1"/>
    </xf>
    <xf numFmtId="4" fontId="76" fillId="0" borderId="45" xfId="33" applyNumberFormat="1" applyFont="1" applyFill="1" applyBorder="1" applyAlignment="1">
      <alignment horizontal="right" vertical="center"/>
    </xf>
    <xf numFmtId="0" fontId="87" fillId="0" borderId="0" xfId="82" applyFont="1" applyAlignment="1">
      <alignment horizontal="center"/>
    </xf>
    <xf numFmtId="0" fontId="56" fillId="34" borderId="17" xfId="82" applyFont="1" applyFill="1" applyBorder="1" applyAlignment="1">
      <alignment horizontal="center" vertical="center"/>
    </xf>
    <xf numFmtId="0" fontId="56" fillId="34" borderId="17" xfId="82" applyFont="1" applyFill="1" applyBorder="1" applyAlignment="1">
      <alignment horizontal="center" vertical="center" wrapText="1"/>
    </xf>
    <xf numFmtId="0" fontId="92" fillId="28" borderId="10" xfId="82" applyFont="1" applyFill="1" applyBorder="1" applyAlignment="1">
      <alignment horizontal="left" vertical="center" wrapText="1"/>
    </xf>
    <xf numFmtId="0" fontId="92" fillId="28" borderId="0" xfId="82" applyFont="1" applyFill="1" applyAlignment="1">
      <alignment horizontal="left" vertical="center" wrapText="1"/>
    </xf>
    <xf numFmtId="49" fontId="76" fillId="25" borderId="64" xfId="0" applyNumberFormat="1" applyFont="1" applyFill="1" applyBorder="1" applyAlignment="1">
      <alignment horizontal="center" vertical="center"/>
    </xf>
    <xf numFmtId="49" fontId="76" fillId="25" borderId="26" xfId="0" applyNumberFormat="1" applyFont="1" applyFill="1" applyBorder="1" applyAlignment="1">
      <alignment horizontal="center" vertical="center" wrapText="1"/>
    </xf>
    <xf numFmtId="49" fontId="76" fillId="25" borderId="28" xfId="0" applyNumberFormat="1" applyFont="1" applyFill="1" applyBorder="1" applyAlignment="1">
      <alignment horizontal="center" vertical="center" wrapText="1"/>
    </xf>
    <xf numFmtId="49" fontId="76" fillId="25" borderId="27" xfId="0" applyNumberFormat="1" applyFont="1" applyFill="1" applyBorder="1" applyAlignment="1">
      <alignment horizontal="center" vertical="center" wrapText="1"/>
    </xf>
    <xf numFmtId="49" fontId="76" fillId="25" borderId="65" xfId="0" applyNumberFormat="1" applyFont="1" applyFill="1" applyBorder="1" applyAlignment="1" applyProtection="1">
      <alignment horizontal="center" vertical="center"/>
      <protection locked="0"/>
    </xf>
    <xf numFmtId="49" fontId="76" fillId="25" borderId="66" xfId="0" applyNumberFormat="1" applyFont="1" applyFill="1" applyBorder="1" applyAlignment="1">
      <alignment horizontal="center" vertical="center"/>
    </xf>
    <xf numFmtId="49" fontId="76" fillId="25" borderId="66" xfId="0" applyNumberFormat="1" applyFont="1" applyFill="1" applyBorder="1" applyAlignment="1" applyProtection="1">
      <alignment horizontal="center" vertical="center"/>
      <protection locked="0"/>
    </xf>
    <xf numFmtId="49" fontId="76" fillId="25" borderId="67" xfId="0" applyNumberFormat="1" applyFont="1" applyFill="1" applyBorder="1" applyAlignment="1">
      <alignment horizontal="center" vertical="center"/>
    </xf>
    <xf numFmtId="49" fontId="187" fillId="25" borderId="46" xfId="0" applyNumberFormat="1" applyFont="1" applyFill="1" applyBorder="1" applyAlignment="1" applyProtection="1">
      <alignment horizontal="center" vertical="center"/>
      <protection locked="0"/>
    </xf>
    <xf numFmtId="49" fontId="187" fillId="25" borderId="47" xfId="0" applyNumberFormat="1" applyFont="1" applyFill="1" applyBorder="1" applyAlignment="1" applyProtection="1">
      <alignment horizontal="center" vertical="center"/>
      <protection locked="0"/>
    </xf>
    <xf numFmtId="49" fontId="187" fillId="25" borderId="67" xfId="0" applyNumberFormat="1" applyFont="1" applyFill="1" applyBorder="1" applyAlignment="1" applyProtection="1">
      <alignment horizontal="center" vertical="center"/>
      <protection locked="0"/>
    </xf>
    <xf numFmtId="49" fontId="11" fillId="25" borderId="62" xfId="0" applyNumberFormat="1" applyFont="1" applyFill="1" applyBorder="1" applyAlignment="1">
      <alignment horizontal="center" vertical="center" wrapText="1"/>
    </xf>
    <xf numFmtId="49" fontId="11" fillId="25" borderId="63" xfId="0" applyNumberFormat="1" applyFont="1" applyFill="1" applyBorder="1" applyAlignment="1">
      <alignment horizontal="center" vertical="center" wrapText="1"/>
    </xf>
    <xf numFmtId="49" fontId="11" fillId="25" borderId="26" xfId="0" applyNumberFormat="1" applyFont="1" applyFill="1" applyBorder="1" applyAlignment="1">
      <alignment horizontal="center" vertical="center" wrapText="1"/>
    </xf>
    <xf numFmtId="49" fontId="11" fillId="25" borderId="28" xfId="0" applyNumberFormat="1" applyFont="1" applyFill="1" applyBorder="1" applyAlignment="1">
      <alignment horizontal="center" vertical="center" wrapText="1"/>
    </xf>
    <xf numFmtId="49" fontId="11" fillId="25" borderId="27" xfId="0" applyNumberFormat="1" applyFont="1" applyFill="1" applyBorder="1" applyAlignment="1">
      <alignment horizontal="center" vertical="center" wrapText="1"/>
    </xf>
    <xf numFmtId="49" fontId="11" fillId="25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4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36" xfId="0" applyNumberFormat="1" applyFont="1" applyFill="1" applyBorder="1" applyAlignment="1">
      <alignment horizontal="center" vertical="center" wrapText="1"/>
    </xf>
    <xf numFmtId="49" fontId="11" fillId="25" borderId="0" xfId="0" applyNumberFormat="1" applyFont="1" applyFill="1" applyAlignment="1">
      <alignment horizontal="center" vertical="center" wrapText="1"/>
    </xf>
    <xf numFmtId="49" fontId="11" fillId="25" borderId="45" xfId="0" applyNumberFormat="1" applyFont="1" applyFill="1" applyBorder="1" applyAlignment="1">
      <alignment horizontal="center" vertical="center" wrapText="1"/>
    </xf>
    <xf numFmtId="49" fontId="11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0" xfId="0" applyNumberFormat="1" applyFont="1" applyFill="1" applyAlignment="1" applyProtection="1">
      <alignment horizontal="center" vertical="center" wrapText="1"/>
      <protection locked="0"/>
    </xf>
    <xf numFmtId="49" fontId="11" fillId="25" borderId="45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6" xfId="0" applyNumberFormat="1" applyFont="1" applyFill="1" applyBorder="1" applyAlignment="1">
      <alignment horizontal="center" vertical="center" wrapText="1"/>
    </xf>
    <xf numFmtId="49" fontId="11" fillId="25" borderId="47" xfId="0" applyNumberFormat="1" applyFont="1" applyFill="1" applyBorder="1" applyAlignment="1">
      <alignment horizontal="center" vertical="center" wrapText="1"/>
    </xf>
    <xf numFmtId="49" fontId="11" fillId="25" borderId="48" xfId="0" applyNumberFormat="1" applyFont="1" applyFill="1" applyBorder="1" applyAlignment="1">
      <alignment horizontal="center" vertical="center" wrapText="1"/>
    </xf>
    <xf numFmtId="0" fontId="56" fillId="34" borderId="22" xfId="82" applyFont="1" applyFill="1" applyBorder="1" applyAlignment="1">
      <alignment horizontal="center" vertical="center"/>
    </xf>
    <xf numFmtId="0" fontId="56" fillId="34" borderId="23" xfId="82" applyFont="1" applyFill="1" applyBorder="1" applyAlignment="1">
      <alignment horizontal="center" vertical="center"/>
    </xf>
    <xf numFmtId="0" fontId="56" fillId="34" borderId="10" xfId="82" applyFont="1" applyFill="1" applyBorder="1" applyAlignment="1">
      <alignment horizontal="center" vertical="center"/>
    </xf>
    <xf numFmtId="0" fontId="56" fillId="34" borderId="11" xfId="82" applyFont="1" applyFill="1" applyBorder="1" applyAlignment="1">
      <alignment horizontal="center" vertical="center"/>
    </xf>
    <xf numFmtId="0" fontId="56" fillId="34" borderId="20" xfId="82" applyFont="1" applyFill="1" applyBorder="1" applyAlignment="1">
      <alignment horizontal="center" vertical="center"/>
    </xf>
    <xf numFmtId="0" fontId="56" fillId="34" borderId="21" xfId="82" applyFont="1" applyFill="1" applyBorder="1" applyAlignment="1">
      <alignment horizontal="center" vertical="center"/>
    </xf>
    <xf numFmtId="0" fontId="88" fillId="28" borderId="10" xfId="82" applyFont="1" applyFill="1" applyBorder="1" applyAlignment="1">
      <alignment horizontal="left" vertical="top" wrapText="1"/>
    </xf>
    <xf numFmtId="0" fontId="88" fillId="28" borderId="11" xfId="82" applyFont="1" applyFill="1" applyBorder="1" applyAlignment="1">
      <alignment horizontal="left" vertical="top" wrapText="1"/>
    </xf>
    <xf numFmtId="49" fontId="11" fillId="25" borderId="36" xfId="0" applyNumberFormat="1" applyFont="1" applyFill="1" applyBorder="1" applyAlignment="1">
      <alignment horizontal="center" vertical="center"/>
    </xf>
    <xf numFmtId="49" fontId="11" fillId="25" borderId="0" xfId="0" applyNumberFormat="1" applyFont="1" applyFill="1" applyAlignment="1">
      <alignment horizontal="center" vertical="center"/>
    </xf>
    <xf numFmtId="49" fontId="11" fillId="25" borderId="66" xfId="0" applyNumberFormat="1" applyFont="1" applyFill="1" applyBorder="1" applyAlignment="1">
      <alignment horizontal="center" vertical="center"/>
    </xf>
    <xf numFmtId="49" fontId="11" fillId="25" borderId="62" xfId="0" applyNumberFormat="1" applyFont="1" applyFill="1" applyBorder="1" applyAlignment="1">
      <alignment horizontal="center" vertical="center"/>
    </xf>
    <xf numFmtId="49" fontId="11" fillId="25" borderId="63" xfId="0" applyNumberFormat="1" applyFont="1" applyFill="1" applyBorder="1" applyAlignment="1">
      <alignment horizontal="center" vertical="center"/>
    </xf>
    <xf numFmtId="49" fontId="11" fillId="25" borderId="42" xfId="0" applyNumberFormat="1" applyFont="1" applyFill="1" applyBorder="1" applyAlignment="1" applyProtection="1">
      <alignment horizontal="center" vertical="center"/>
      <protection locked="0"/>
    </xf>
    <xf numFmtId="49" fontId="11" fillId="25" borderId="43" xfId="0" applyNumberFormat="1" applyFont="1" applyFill="1" applyBorder="1" applyAlignment="1" applyProtection="1">
      <alignment horizontal="center" vertical="center"/>
      <protection locked="0"/>
    </xf>
    <xf numFmtId="49" fontId="11" fillId="25" borderId="44" xfId="0" applyNumberFormat="1" applyFont="1" applyFill="1" applyBorder="1" applyAlignment="1" applyProtection="1">
      <alignment horizontal="center" vertical="center"/>
      <protection locked="0"/>
    </xf>
    <xf numFmtId="49" fontId="11" fillId="25" borderId="45" xfId="0" applyNumberFormat="1" applyFont="1" applyFill="1" applyBorder="1" applyAlignment="1">
      <alignment horizontal="center" vertical="center"/>
    </xf>
    <xf numFmtId="49" fontId="11" fillId="25" borderId="36" xfId="0" applyNumberFormat="1" applyFont="1" applyFill="1" applyBorder="1" applyAlignment="1" applyProtection="1">
      <alignment horizontal="center" vertical="center"/>
      <protection locked="0"/>
    </xf>
    <xf numFmtId="49" fontId="11" fillId="25" borderId="0" xfId="0" applyNumberFormat="1" applyFont="1" applyFill="1" applyAlignment="1" applyProtection="1">
      <alignment horizontal="center" vertical="center"/>
      <protection locked="0"/>
    </xf>
    <xf numFmtId="49" fontId="11" fillId="25" borderId="45" xfId="0" applyNumberFormat="1" applyFont="1" applyFill="1" applyBorder="1" applyAlignment="1" applyProtection="1">
      <alignment horizontal="center" vertical="center"/>
      <protection locked="0"/>
    </xf>
    <xf numFmtId="49" fontId="11" fillId="25" borderId="46" xfId="0" applyNumberFormat="1" applyFont="1" applyFill="1" applyBorder="1" applyAlignment="1">
      <alignment horizontal="center" vertical="center"/>
    </xf>
    <xf numFmtId="49" fontId="11" fillId="25" borderId="47" xfId="0" applyNumberFormat="1" applyFont="1" applyFill="1" applyBorder="1" applyAlignment="1">
      <alignment horizontal="center" vertical="center"/>
    </xf>
    <xf numFmtId="49" fontId="11" fillId="25" borderId="48" xfId="0" applyNumberFormat="1" applyFont="1" applyFill="1" applyBorder="1" applyAlignment="1">
      <alignment horizontal="center" vertical="center"/>
    </xf>
    <xf numFmtId="0" fontId="87" fillId="28" borderId="0" xfId="82" applyFont="1" applyFill="1" applyAlignment="1">
      <alignment horizontal="justify" vertical="center" wrapText="1"/>
    </xf>
    <xf numFmtId="0" fontId="87" fillId="28" borderId="11" xfId="82" applyFont="1" applyFill="1" applyBorder="1" applyAlignment="1">
      <alignment horizontal="justify" vertical="center" wrapText="1"/>
    </xf>
    <xf numFmtId="0" fontId="56" fillId="34" borderId="24" xfId="82" applyFont="1" applyFill="1" applyBorder="1" applyAlignment="1">
      <alignment horizontal="center" vertical="center"/>
    </xf>
    <xf numFmtId="0" fontId="56" fillId="34" borderId="0" xfId="82" applyFont="1" applyFill="1" applyAlignment="1">
      <alignment horizontal="center" vertical="center"/>
    </xf>
    <xf numFmtId="0" fontId="56" fillId="34" borderId="19" xfId="82" applyFont="1" applyFill="1" applyBorder="1" applyAlignment="1">
      <alignment horizontal="center" vertical="center"/>
    </xf>
    <xf numFmtId="0" fontId="87" fillId="28" borderId="10" xfId="82" applyFont="1" applyFill="1" applyBorder="1" applyAlignment="1">
      <alignment horizontal="left" vertical="center" wrapText="1"/>
    </xf>
    <xf numFmtId="0" fontId="87" fillId="28" borderId="0" xfId="82" applyFont="1" applyFill="1" applyAlignment="1">
      <alignment horizontal="left" vertical="center" wrapText="1"/>
    </xf>
    <xf numFmtId="0" fontId="87" fillId="28" borderId="11" xfId="82" applyFont="1" applyFill="1" applyBorder="1" applyAlignment="1">
      <alignment horizontal="left" vertical="center" wrapText="1"/>
    </xf>
    <xf numFmtId="0" fontId="88" fillId="28" borderId="14" xfId="82" applyFont="1" applyFill="1" applyBorder="1" applyAlignment="1">
      <alignment horizontal="left" vertical="center" wrapText="1" indent="3"/>
    </xf>
    <xf numFmtId="0" fontId="88" fillId="28" borderId="15" xfId="82" applyFont="1" applyFill="1" applyBorder="1" applyAlignment="1">
      <alignment horizontal="left" vertical="center" wrapText="1" indent="3"/>
    </xf>
    <xf numFmtId="0" fontId="11" fillId="25" borderId="42" xfId="0" applyFont="1" applyFill="1" applyBorder="1" applyAlignment="1" applyProtection="1">
      <alignment horizontal="center"/>
      <protection locked="0"/>
    </xf>
    <xf numFmtId="0" fontId="11" fillId="25" borderId="43" xfId="0" applyFont="1" applyFill="1" applyBorder="1" applyAlignment="1" applyProtection="1">
      <alignment horizontal="center"/>
      <protection locked="0"/>
    </xf>
    <xf numFmtId="0" fontId="11" fillId="25" borderId="44" xfId="0" applyFont="1" applyFill="1" applyBorder="1" applyAlignment="1" applyProtection="1">
      <alignment horizontal="center"/>
      <protection locked="0"/>
    </xf>
    <xf numFmtId="0" fontId="11" fillId="25" borderId="36" xfId="0" applyFont="1" applyFill="1" applyBorder="1" applyAlignment="1">
      <alignment horizontal="center"/>
    </xf>
    <xf numFmtId="0" fontId="11" fillId="25" borderId="0" xfId="0" applyFont="1" applyFill="1" applyAlignment="1">
      <alignment horizontal="center"/>
    </xf>
    <xf numFmtId="0" fontId="11" fillId="25" borderId="45" xfId="0" applyFont="1" applyFill="1" applyBorder="1" applyAlignment="1">
      <alignment horizontal="center"/>
    </xf>
    <xf numFmtId="0" fontId="187" fillId="25" borderId="46" xfId="0" applyFont="1" applyFill="1" applyBorder="1" applyAlignment="1" applyProtection="1">
      <alignment horizontal="center"/>
      <protection locked="0"/>
    </xf>
    <xf numFmtId="0" fontId="187" fillId="25" borderId="47" xfId="0" applyFont="1" applyFill="1" applyBorder="1" applyAlignment="1" applyProtection="1">
      <alignment horizontal="center"/>
      <protection locked="0"/>
    </xf>
    <xf numFmtId="0" fontId="187" fillId="25" borderId="48" xfId="0" applyFont="1" applyFill="1" applyBorder="1" applyAlignment="1" applyProtection="1">
      <alignment horizontal="center"/>
      <protection locked="0"/>
    </xf>
    <xf numFmtId="0" fontId="76" fillId="25" borderId="62" xfId="0" applyFont="1" applyFill="1" applyBorder="1" applyAlignment="1">
      <alignment horizontal="center" vertical="center"/>
    </xf>
    <xf numFmtId="0" fontId="76" fillId="25" borderId="64" xfId="0" applyFont="1" applyFill="1" applyBorder="1" applyAlignment="1">
      <alignment horizontal="center" vertical="center"/>
    </xf>
    <xf numFmtId="0" fontId="76" fillId="25" borderId="63" xfId="0" applyFont="1" applyFill="1" applyBorder="1" applyAlignment="1">
      <alignment horizontal="center" vertical="center"/>
    </xf>
    <xf numFmtId="0" fontId="76" fillId="25" borderId="26" xfId="0" applyFont="1" applyFill="1" applyBorder="1" applyAlignment="1">
      <alignment horizontal="center" vertical="center"/>
    </xf>
    <xf numFmtId="0" fontId="76" fillId="25" borderId="28" xfId="0" applyFont="1" applyFill="1" applyBorder="1" applyAlignment="1">
      <alignment horizontal="center" vertical="center"/>
    </xf>
    <xf numFmtId="0" fontId="76" fillId="25" borderId="27" xfId="0" applyFont="1" applyFill="1" applyBorder="1" applyAlignment="1">
      <alignment horizontal="center" vertical="center"/>
    </xf>
    <xf numFmtId="0" fontId="56" fillId="34" borderId="17" xfId="49" applyFont="1" applyFill="1" applyBorder="1" applyAlignment="1">
      <alignment horizontal="center"/>
    </xf>
    <xf numFmtId="0" fontId="87" fillId="28" borderId="17" xfId="82" applyFont="1" applyFill="1" applyBorder="1" applyAlignment="1">
      <alignment horizontal="center"/>
    </xf>
    <xf numFmtId="0" fontId="87" fillId="28" borderId="17" xfId="82" applyFont="1" applyFill="1" applyBorder="1" applyAlignment="1">
      <alignment horizontal="right"/>
    </xf>
    <xf numFmtId="0" fontId="87" fillId="28" borderId="13" xfId="82" applyFont="1" applyFill="1" applyBorder="1" applyAlignment="1">
      <alignment horizontal="right"/>
    </xf>
    <xf numFmtId="0" fontId="87" fillId="28" borderId="15" xfId="82" applyFont="1" applyFill="1" applyBorder="1" applyAlignment="1">
      <alignment horizontal="right"/>
    </xf>
    <xf numFmtId="165" fontId="87" fillId="28" borderId="13" xfId="82" applyNumberFormat="1" applyFont="1" applyFill="1" applyBorder="1" applyAlignment="1">
      <alignment horizontal="right"/>
    </xf>
    <xf numFmtId="0" fontId="87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87" fillId="28" borderId="15" xfId="82" applyFont="1" applyFill="1" applyBorder="1" applyAlignment="1">
      <alignment horizontal="center"/>
    </xf>
    <xf numFmtId="166" fontId="87" fillId="28" borderId="13" xfId="33" applyNumberFormat="1" applyFont="1" applyFill="1" applyBorder="1" applyAlignment="1">
      <alignment horizontal="right"/>
    </xf>
    <xf numFmtId="166" fontId="87" fillId="28" borderId="15" xfId="33" applyNumberFormat="1" applyFont="1" applyFill="1" applyBorder="1" applyAlignment="1">
      <alignment horizontal="right"/>
    </xf>
    <xf numFmtId="166" fontId="87" fillId="28" borderId="17" xfId="33" applyNumberFormat="1" applyFont="1" applyFill="1" applyBorder="1" applyAlignment="1">
      <alignment horizontal="right"/>
    </xf>
    <xf numFmtId="0" fontId="76" fillId="25" borderId="42" xfId="0" applyFont="1" applyFill="1" applyBorder="1" applyAlignment="1">
      <alignment horizontal="center" vertical="center"/>
    </xf>
    <xf numFmtId="0" fontId="71" fillId="25" borderId="43" xfId="0" applyFont="1" applyFill="1" applyBorder="1" applyAlignment="1">
      <alignment horizontal="center" vertical="center"/>
    </xf>
    <xf numFmtId="0" fontId="71" fillId="25" borderId="44" xfId="0" applyFont="1" applyFill="1" applyBorder="1" applyAlignment="1">
      <alignment horizontal="center" vertical="center"/>
    </xf>
    <xf numFmtId="49" fontId="187" fillId="25" borderId="48" xfId="0" applyNumberFormat="1" applyFont="1" applyFill="1" applyBorder="1" applyAlignment="1" applyProtection="1">
      <alignment horizontal="center" vertical="center"/>
      <protection locked="0"/>
    </xf>
    <xf numFmtId="0" fontId="87" fillId="28" borderId="13" xfId="143" applyFont="1" applyFill="1" applyBorder="1" applyAlignment="1">
      <alignment horizontal="center"/>
    </xf>
    <xf numFmtId="0" fontId="87" fillId="28" borderId="15" xfId="143" applyFont="1" applyFill="1" applyBorder="1" applyAlignment="1">
      <alignment horizontal="center"/>
    </xf>
    <xf numFmtId="0" fontId="56" fillId="34" borderId="13" xfId="143" applyFont="1" applyFill="1" applyBorder="1" applyAlignment="1">
      <alignment horizontal="center"/>
    </xf>
    <xf numFmtId="0" fontId="56" fillId="34" borderId="14" xfId="143" applyFont="1" applyFill="1" applyBorder="1" applyAlignment="1">
      <alignment horizontal="center"/>
    </xf>
    <xf numFmtId="0" fontId="56" fillId="34" borderId="15" xfId="143" applyFont="1" applyFill="1" applyBorder="1" applyAlignment="1">
      <alignment horizontal="center"/>
    </xf>
    <xf numFmtId="0" fontId="56" fillId="34" borderId="22" xfId="143" applyFont="1" applyFill="1" applyBorder="1" applyAlignment="1">
      <alignment horizontal="center"/>
    </xf>
    <xf numFmtId="0" fontId="56" fillId="34" borderId="24" xfId="143" applyFont="1" applyFill="1" applyBorder="1" applyAlignment="1">
      <alignment horizontal="center"/>
    </xf>
    <xf numFmtId="0" fontId="56" fillId="34" borderId="23" xfId="143" applyFont="1" applyFill="1" applyBorder="1" applyAlignment="1">
      <alignment horizontal="center"/>
    </xf>
    <xf numFmtId="0" fontId="56" fillId="34" borderId="10" xfId="143" applyFont="1" applyFill="1" applyBorder="1" applyAlignment="1">
      <alignment horizontal="center"/>
    </xf>
    <xf numFmtId="0" fontId="56" fillId="34" borderId="0" xfId="143" applyFont="1" applyFill="1" applyAlignment="1">
      <alignment horizontal="center"/>
    </xf>
    <xf numFmtId="0" fontId="56" fillId="34" borderId="11" xfId="143" applyFont="1" applyFill="1" applyBorder="1" applyAlignment="1">
      <alignment horizontal="center"/>
    </xf>
    <xf numFmtId="0" fontId="56" fillId="34" borderId="20" xfId="143" applyFont="1" applyFill="1" applyBorder="1" applyAlignment="1">
      <alignment horizontal="center"/>
    </xf>
    <xf numFmtId="0" fontId="56" fillId="34" borderId="19" xfId="143" applyFont="1" applyFill="1" applyBorder="1" applyAlignment="1">
      <alignment horizontal="center"/>
    </xf>
    <xf numFmtId="0" fontId="56" fillId="34" borderId="21" xfId="143" applyFont="1" applyFill="1" applyBorder="1" applyAlignment="1">
      <alignment horizontal="center"/>
    </xf>
    <xf numFmtId="0" fontId="87" fillId="28" borderId="20" xfId="82" applyFont="1" applyFill="1" applyBorder="1" applyAlignment="1">
      <alignment horizontal="left" vertical="center" wrapText="1"/>
    </xf>
    <xf numFmtId="0" fontId="87" fillId="28" borderId="21" xfId="82" applyFont="1" applyFill="1" applyBorder="1" applyAlignment="1">
      <alignment horizontal="left" vertical="center" wrapText="1"/>
    </xf>
    <xf numFmtId="0" fontId="87" fillId="28" borderId="13" xfId="82" applyFont="1" applyFill="1" applyBorder="1" applyAlignment="1">
      <alignment horizontal="left" vertical="center" wrapText="1"/>
    </xf>
    <xf numFmtId="0" fontId="87" fillId="28" borderId="15" xfId="82" applyFont="1" applyFill="1" applyBorder="1" applyAlignment="1">
      <alignment horizontal="left" vertical="center" wrapText="1"/>
    </xf>
    <xf numFmtId="0" fontId="87" fillId="28" borderId="40" xfId="82" applyFont="1" applyFill="1" applyBorder="1" applyAlignment="1">
      <alignment horizontal="left" vertical="top" wrapText="1" indent="1"/>
    </xf>
    <xf numFmtId="0" fontId="87" fillId="28" borderId="41" xfId="82" applyFont="1" applyFill="1" applyBorder="1" applyAlignment="1">
      <alignment horizontal="left" vertical="top" wrapText="1" indent="1"/>
    </xf>
    <xf numFmtId="0" fontId="88" fillId="28" borderId="13" xfId="82" applyFont="1" applyFill="1" applyBorder="1" applyAlignment="1">
      <alignment horizontal="left" vertical="center" wrapText="1"/>
    </xf>
    <xf numFmtId="0" fontId="88" fillId="28" borderId="15" xfId="82" applyFont="1" applyFill="1" applyBorder="1" applyAlignment="1">
      <alignment horizontal="left" vertical="center" wrapText="1"/>
    </xf>
    <xf numFmtId="0" fontId="87" fillId="28" borderId="0" xfId="82" applyFont="1" applyFill="1" applyAlignment="1">
      <alignment horizontal="left" wrapText="1"/>
    </xf>
    <xf numFmtId="0" fontId="87" fillId="28" borderId="0" xfId="82" applyFont="1" applyFill="1" applyAlignment="1">
      <alignment horizontal="left"/>
    </xf>
    <xf numFmtId="49" fontId="183" fillId="25" borderId="36" xfId="0" applyNumberFormat="1" applyFont="1" applyFill="1" applyBorder="1" applyAlignment="1" applyProtection="1">
      <alignment horizontal="center" vertical="center"/>
      <protection locked="0"/>
    </xf>
    <xf numFmtId="49" fontId="183" fillId="25" borderId="0" xfId="0" applyNumberFormat="1" applyFont="1" applyFill="1" applyAlignment="1" applyProtection="1">
      <alignment horizontal="center" vertical="center"/>
      <protection locked="0"/>
    </xf>
    <xf numFmtId="49" fontId="183" fillId="25" borderId="45" xfId="0" applyNumberFormat="1" applyFont="1" applyFill="1" applyBorder="1" applyAlignment="1" applyProtection="1">
      <alignment horizontal="center" vertical="center"/>
      <protection locked="0"/>
    </xf>
    <xf numFmtId="0" fontId="76" fillId="0" borderId="64" xfId="0" applyFont="1" applyBorder="1" applyAlignment="1">
      <alignment horizontal="left" vertical="center" indent="1"/>
    </xf>
    <xf numFmtId="0" fontId="76" fillId="0" borderId="63" xfId="0" applyFont="1" applyBorder="1" applyAlignment="1">
      <alignment horizontal="left" vertical="center" indent="1"/>
    </xf>
    <xf numFmtId="4" fontId="76" fillId="0" borderId="64" xfId="33" applyNumberFormat="1" applyFont="1" applyFill="1" applyBorder="1" applyAlignment="1">
      <alignment horizontal="right" vertical="center"/>
    </xf>
    <xf numFmtId="4" fontId="76" fillId="0" borderId="63" xfId="33" applyNumberFormat="1" applyFont="1" applyFill="1" applyBorder="1" applyAlignment="1">
      <alignment horizontal="right" vertical="center"/>
    </xf>
    <xf numFmtId="49" fontId="139" fillId="39" borderId="16" xfId="0" applyNumberFormat="1" applyFont="1" applyFill="1" applyBorder="1" applyAlignment="1">
      <alignment horizontal="center" vertical="center"/>
    </xf>
    <xf numFmtId="49" fontId="139" fillId="39" borderId="18" xfId="0" applyNumberFormat="1" applyFont="1" applyFill="1" applyBorder="1" applyAlignment="1">
      <alignment horizontal="center" vertical="center"/>
    </xf>
    <xf numFmtId="0" fontId="51" fillId="34" borderId="42" xfId="82" applyFont="1" applyFill="1" applyBorder="1" applyAlignment="1">
      <alignment horizontal="center" vertical="center"/>
    </xf>
    <xf numFmtId="0" fontId="51" fillId="34" borderId="43" xfId="82" applyFont="1" applyFill="1" applyBorder="1" applyAlignment="1">
      <alignment horizontal="center" vertical="center"/>
    </xf>
    <xf numFmtId="0" fontId="51" fillId="34" borderId="44" xfId="82" applyFont="1" applyFill="1" applyBorder="1" applyAlignment="1">
      <alignment horizontal="center" vertical="center"/>
    </xf>
    <xf numFmtId="0" fontId="51" fillId="34" borderId="36" xfId="82" applyFont="1" applyFill="1" applyBorder="1" applyAlignment="1">
      <alignment horizontal="center" vertical="center"/>
    </xf>
    <xf numFmtId="0" fontId="51" fillId="34" borderId="0" xfId="82" applyFont="1" applyFill="1" applyAlignment="1">
      <alignment horizontal="center" vertical="center"/>
    </xf>
    <xf numFmtId="0" fontId="51" fillId="34" borderId="45" xfId="82" applyFont="1" applyFill="1" applyBorder="1" applyAlignment="1">
      <alignment horizontal="center" vertical="center"/>
    </xf>
    <xf numFmtId="0" fontId="51" fillId="34" borderId="46" xfId="82" applyFont="1" applyFill="1" applyBorder="1" applyAlignment="1">
      <alignment horizontal="center" vertical="center"/>
    </xf>
    <xf numFmtId="0" fontId="51" fillId="34" borderId="47" xfId="82" applyFont="1" applyFill="1" applyBorder="1" applyAlignment="1">
      <alignment horizontal="center" vertical="center"/>
    </xf>
    <xf numFmtId="0" fontId="51" fillId="34" borderId="48" xfId="82" applyFont="1" applyFill="1" applyBorder="1" applyAlignment="1">
      <alignment horizontal="center" vertical="center"/>
    </xf>
    <xf numFmtId="0" fontId="71" fillId="28" borderId="49" xfId="82" applyFont="1" applyFill="1" applyBorder="1" applyAlignment="1">
      <alignment horizontal="center" vertical="center" wrapText="1"/>
    </xf>
    <xf numFmtId="0" fontId="71" fillId="28" borderId="51" xfId="82" applyFont="1" applyFill="1" applyBorder="1" applyAlignment="1">
      <alignment horizontal="center" vertical="center" wrapText="1"/>
    </xf>
    <xf numFmtId="0" fontId="71" fillId="28" borderId="18" xfId="82" applyFont="1" applyFill="1" applyBorder="1" applyAlignment="1">
      <alignment horizontal="center" vertical="center" wrapText="1"/>
    </xf>
    <xf numFmtId="0" fontId="71" fillId="28" borderId="50" xfId="82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93" fillId="0" borderId="0" xfId="0" applyFont="1" applyAlignment="1">
      <alignment horizontal="left"/>
    </xf>
    <xf numFmtId="0" fontId="64" fillId="0" borderId="22" xfId="0" applyFont="1" applyFill="1" applyBorder="1" applyAlignment="1">
      <alignment horizontal="left"/>
    </xf>
    <xf numFmtId="0" fontId="64" fillId="0" borderId="24" xfId="0" applyFont="1" applyFill="1" applyBorder="1" applyAlignment="1">
      <alignment horizontal="left"/>
    </xf>
    <xf numFmtId="0" fontId="64" fillId="0" borderId="23" xfId="0" applyFont="1" applyFill="1" applyBorder="1" applyAlignment="1">
      <alignment horizontal="left"/>
    </xf>
    <xf numFmtId="0" fontId="64" fillId="0" borderId="13" xfId="0" applyFont="1" applyFill="1" applyBorder="1" applyAlignment="1">
      <alignment horizontal="center"/>
    </xf>
    <xf numFmtId="0" fontId="64" fillId="0" borderId="14" xfId="0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43" fontId="64" fillId="0" borderId="13" xfId="37" applyFont="1" applyFill="1" applyBorder="1" applyAlignment="1">
      <alignment horizontal="center"/>
    </xf>
    <xf numFmtId="43" fontId="64" fillId="0" borderId="14" xfId="37" applyFont="1" applyFill="1" applyBorder="1" applyAlignment="1">
      <alignment horizontal="center"/>
    </xf>
    <xf numFmtId="43" fontId="64" fillId="0" borderId="15" xfId="37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64" fillId="0" borderId="20" xfId="0" applyFont="1" applyFill="1" applyBorder="1" applyAlignment="1">
      <alignment horizontal="left"/>
    </xf>
    <xf numFmtId="0" fontId="64" fillId="0" borderId="19" xfId="0" applyFont="1" applyFill="1" applyBorder="1" applyAlignment="1">
      <alignment horizontal="left"/>
    </xf>
    <xf numFmtId="0" fontId="64" fillId="0" borderId="21" xfId="0" applyFont="1" applyFill="1" applyBorder="1" applyAlignment="1">
      <alignment horizontal="left"/>
    </xf>
    <xf numFmtId="0" fontId="202" fillId="0" borderId="13" xfId="0" applyFont="1" applyFill="1" applyBorder="1" applyAlignment="1">
      <alignment horizontal="center"/>
    </xf>
    <xf numFmtId="0" fontId="202" fillId="0" borderId="14" xfId="0" applyFont="1" applyFill="1" applyBorder="1" applyAlignment="1">
      <alignment horizontal="center"/>
    </xf>
    <xf numFmtId="0" fontId="202" fillId="0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7" fontId="0" fillId="0" borderId="17" xfId="47" applyNumberFormat="1" applyFont="1" applyBorder="1" applyAlignment="1">
      <alignment horizontal="center" vertical="center" wrapText="1"/>
    </xf>
    <xf numFmtId="0" fontId="0" fillId="25" borderId="17" xfId="0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8" fillId="26" borderId="17" xfId="0" applyFont="1" applyFill="1" applyBorder="1" applyAlignment="1">
      <alignment horizontal="center" vertical="center" wrapText="1"/>
    </xf>
    <xf numFmtId="164" fontId="9" fillId="0" borderId="17" xfId="47" applyFill="1" applyBorder="1" applyAlignment="1">
      <alignment horizontal="center" vertical="center" wrapText="1"/>
    </xf>
    <xf numFmtId="166" fontId="9" fillId="0" borderId="17" xfId="33" applyNumberFormat="1" applyBorder="1" applyAlignment="1">
      <alignment horizontal="center" vertical="center" wrapText="1"/>
    </xf>
    <xf numFmtId="164" fontId="0" fillId="0" borderId="17" xfId="47" applyFont="1" applyBorder="1" applyAlignment="1">
      <alignment horizontal="center" vertical="center" wrapText="1"/>
    </xf>
    <xf numFmtId="166" fontId="9" fillId="0" borderId="16" xfId="33" applyNumberFormat="1" applyBorder="1" applyAlignment="1">
      <alignment horizontal="center" vertical="center" wrapText="1"/>
    </xf>
    <xf numFmtId="166" fontId="9" fillId="0" borderId="12" xfId="33" applyNumberFormat="1" applyBorder="1" applyAlignment="1">
      <alignment horizontal="center" vertical="center" wrapText="1"/>
    </xf>
    <xf numFmtId="166" fontId="9" fillId="0" borderId="18" xfId="33" applyNumberForma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49" fontId="9" fillId="0" borderId="16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165" fontId="0" fillId="0" borderId="17" xfId="33" applyFont="1" applyFill="1" applyBorder="1" applyAlignment="1">
      <alignment horizontal="center" vertical="center" wrapText="1"/>
    </xf>
    <xf numFmtId="167" fontId="0" fillId="0" borderId="17" xfId="47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2" fillId="34" borderId="13" xfId="0" applyFont="1" applyFill="1" applyBorder="1" applyAlignment="1">
      <alignment horizontal="center" vertical="center"/>
    </xf>
    <xf numFmtId="0" fontId="52" fillId="34" borderId="15" xfId="0" applyFont="1" applyFill="1" applyBorder="1" applyAlignment="1">
      <alignment horizontal="center" vertical="center"/>
    </xf>
    <xf numFmtId="10" fontId="0" fillId="0" borderId="17" xfId="81" applyNumberFormat="1" applyFont="1" applyBorder="1" applyAlignment="1">
      <alignment horizontal="center" vertical="center" wrapText="1"/>
    </xf>
    <xf numFmtId="9" fontId="0" fillId="0" borderId="17" xfId="7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10" fontId="0" fillId="0" borderId="17" xfId="70" applyNumberFormat="1" applyFont="1" applyBorder="1" applyAlignment="1">
      <alignment horizontal="center" vertical="center" wrapText="1"/>
    </xf>
    <xf numFmtId="0" fontId="8" fillId="27" borderId="0" xfId="131" applyFont="1" applyFill="1" applyAlignment="1">
      <alignment horizontal="center"/>
    </xf>
    <xf numFmtId="0" fontId="8" fillId="25" borderId="13" xfId="0" applyFont="1" applyFill="1" applyBorder="1" applyAlignment="1">
      <alignment horizontal="center"/>
    </xf>
    <xf numFmtId="0" fontId="8" fillId="25" borderId="14" xfId="0" applyFont="1" applyFill="1" applyBorder="1" applyAlignment="1">
      <alignment horizontal="center"/>
    </xf>
    <xf numFmtId="0" fontId="8" fillId="25" borderId="15" xfId="0" applyFont="1" applyFill="1" applyBorder="1" applyAlignment="1">
      <alignment horizontal="center"/>
    </xf>
    <xf numFmtId="0" fontId="9" fillId="0" borderId="17" xfId="70" applyNumberFormat="1" applyFill="1" applyBorder="1" applyAlignment="1">
      <alignment horizontal="center" vertical="center" wrapText="1"/>
    </xf>
    <xf numFmtId="0" fontId="9" fillId="0" borderId="17" xfId="47" applyNumberForma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9" fontId="9" fillId="0" borderId="17" xfId="8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6" fillId="0" borderId="0" xfId="106" applyFont="1" applyAlignment="1">
      <alignment horizontal="center"/>
    </xf>
    <xf numFmtId="0" fontId="174" fillId="0" borderId="0" xfId="106" applyFont="1" applyAlignment="1">
      <alignment horizontal="center"/>
    </xf>
    <xf numFmtId="0" fontId="36" fillId="0" borderId="0" xfId="131" applyFont="1" applyAlignment="1">
      <alignment horizontal="center"/>
    </xf>
    <xf numFmtId="0" fontId="159" fillId="0" borderId="0" xfId="131" applyFont="1" applyAlignment="1">
      <alignment horizontal="center" vertical="center"/>
    </xf>
    <xf numFmtId="0" fontId="154" fillId="36" borderId="0" xfId="131" applyFont="1" applyFill="1" applyAlignment="1">
      <alignment horizontal="center" vertical="center"/>
    </xf>
    <xf numFmtId="0" fontId="159" fillId="0" borderId="0" xfId="131" applyFont="1" applyAlignment="1">
      <alignment horizontal="center" vertical="center" wrapText="1"/>
    </xf>
    <xf numFmtId="0" fontId="0" fillId="35" borderId="0" xfId="0" applyFill="1" applyAlignment="1">
      <alignment horizontal="left" vertical="top" wrapText="1"/>
    </xf>
    <xf numFmtId="0" fontId="133" fillId="35" borderId="0" xfId="0" applyFont="1" applyFill="1" applyAlignment="1">
      <alignment horizontal="center" vertical="top" wrapText="1"/>
    </xf>
    <xf numFmtId="0" fontId="134" fillId="35" borderId="0" xfId="0" applyFont="1" applyFill="1" applyAlignment="1">
      <alignment horizontal="center" vertical="top" wrapText="1"/>
    </xf>
    <xf numFmtId="0" fontId="135" fillId="35" borderId="0" xfId="0" applyFont="1" applyFill="1" applyAlignment="1">
      <alignment horizontal="center" vertical="top" wrapText="1"/>
    </xf>
    <xf numFmtId="0" fontId="136" fillId="35" borderId="0" xfId="0" applyFont="1" applyFill="1" applyAlignment="1">
      <alignment horizontal="right" vertical="center" wrapText="1"/>
    </xf>
    <xf numFmtId="0" fontId="136" fillId="35" borderId="0" xfId="0" applyFont="1" applyFill="1" applyAlignment="1">
      <alignment horizontal="left" vertical="center" wrapText="1"/>
    </xf>
    <xf numFmtId="0" fontId="138" fillId="35" borderId="0" xfId="0" applyFont="1" applyFill="1" applyAlignment="1">
      <alignment horizontal="center" wrapText="1"/>
    </xf>
    <xf numFmtId="0" fontId="139" fillId="35" borderId="0" xfId="0" applyFont="1" applyFill="1" applyAlignment="1">
      <alignment horizontal="right" wrapText="1"/>
    </xf>
    <xf numFmtId="0" fontId="139" fillId="35" borderId="0" xfId="0" applyFont="1" applyFill="1" applyAlignment="1">
      <alignment horizontal="left" vertical="center" wrapText="1"/>
    </xf>
    <xf numFmtId="0" fontId="141" fillId="35" borderId="0" xfId="0" applyFont="1" applyFill="1" applyAlignment="1">
      <alignment horizontal="left" wrapText="1"/>
    </xf>
    <xf numFmtId="7" fontId="142" fillId="35" borderId="0" xfId="0" applyNumberFormat="1" applyFont="1" applyFill="1" applyAlignment="1">
      <alignment horizontal="right" wrapText="1"/>
    </xf>
    <xf numFmtId="0" fontId="144" fillId="35" borderId="0" xfId="0" applyFont="1" applyFill="1" applyAlignment="1">
      <alignment horizontal="left" wrapText="1"/>
    </xf>
    <xf numFmtId="7" fontId="144" fillId="35" borderId="0" xfId="0" applyNumberFormat="1" applyFont="1" applyFill="1" applyAlignment="1">
      <alignment horizontal="right" wrapText="1"/>
    </xf>
    <xf numFmtId="0" fontId="145" fillId="35" borderId="0" xfId="0" applyFont="1" applyFill="1" applyAlignment="1">
      <alignment horizontal="left" wrapText="1"/>
    </xf>
    <xf numFmtId="7" fontId="145" fillId="35" borderId="0" xfId="0" applyNumberFormat="1" applyFont="1" applyFill="1" applyAlignment="1">
      <alignment horizontal="right" wrapText="1"/>
    </xf>
    <xf numFmtId="7" fontId="146" fillId="35" borderId="0" xfId="0" applyNumberFormat="1" applyFont="1" applyFill="1" applyAlignment="1">
      <alignment horizontal="right" wrapText="1"/>
    </xf>
    <xf numFmtId="7" fontId="151" fillId="35" borderId="0" xfId="0" applyNumberFormat="1" applyFont="1" applyFill="1" applyAlignment="1">
      <alignment horizontal="right" wrapText="1"/>
    </xf>
  </cellXfs>
  <cellStyles count="146">
    <cellStyle name="=C:\WINNT\SYSTEM32\COMMAND.COM" xfId="84" xr:uid="{00000000-0005-0000-0000-000000000000}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6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 2" xfId="31" xr:uid="{00000000-0005-0000-0000-00001F000000}"/>
    <cellStyle name="Incorrecto" xfId="32" builtinId="27" customBuiltin="1"/>
    <cellStyle name="Millares" xfId="33" builtinId="3"/>
    <cellStyle name="Millares 10" xfId="34" xr:uid="{00000000-0005-0000-0000-000022000000}"/>
    <cellStyle name="Millares 11" xfId="35" xr:uid="{00000000-0005-0000-0000-000023000000}"/>
    <cellStyle name="Millares 12" xfId="69" xr:uid="{00000000-0005-0000-0000-000024000000}"/>
    <cellStyle name="Millares 13" xfId="36" xr:uid="{00000000-0005-0000-0000-000025000000}"/>
    <cellStyle name="Millares 14" xfId="71" xr:uid="{00000000-0005-0000-0000-000026000000}"/>
    <cellStyle name="Millares 15" xfId="73" xr:uid="{00000000-0005-0000-0000-000027000000}"/>
    <cellStyle name="Millares 16" xfId="74" xr:uid="{00000000-0005-0000-0000-000028000000}"/>
    <cellStyle name="Millares 17" xfId="76" xr:uid="{00000000-0005-0000-0000-000029000000}"/>
    <cellStyle name="Millares 18" xfId="77" xr:uid="{00000000-0005-0000-0000-00002A000000}"/>
    <cellStyle name="Millares 19" xfId="78" xr:uid="{00000000-0005-0000-0000-00002B000000}"/>
    <cellStyle name="Millares 2" xfId="37" xr:uid="{00000000-0005-0000-0000-00002C000000}"/>
    <cellStyle name="Millares 2 2" xfId="86" xr:uid="{00000000-0005-0000-0000-00002D000000}"/>
    <cellStyle name="Millares 20" xfId="79" xr:uid="{00000000-0005-0000-0000-00002E000000}"/>
    <cellStyle name="Millares 21" xfId="83" xr:uid="{00000000-0005-0000-0000-00002F000000}"/>
    <cellStyle name="Millares 22" xfId="88" xr:uid="{00000000-0005-0000-0000-000030000000}"/>
    <cellStyle name="Millares 23" xfId="90" xr:uid="{00000000-0005-0000-0000-000031000000}"/>
    <cellStyle name="Millares 24" xfId="94" xr:uid="{00000000-0005-0000-0000-000032000000}"/>
    <cellStyle name="Millares 25" xfId="97" xr:uid="{00000000-0005-0000-0000-000033000000}"/>
    <cellStyle name="Millares 26" xfId="99" xr:uid="{00000000-0005-0000-0000-000034000000}"/>
    <cellStyle name="Millares 27" xfId="107" xr:uid="{00000000-0005-0000-0000-000035000000}"/>
    <cellStyle name="Millares 28" xfId="108" xr:uid="{00000000-0005-0000-0000-000036000000}"/>
    <cellStyle name="Millares 29" xfId="112" xr:uid="{00000000-0005-0000-0000-000037000000}"/>
    <cellStyle name="Millares 3" xfId="38" xr:uid="{00000000-0005-0000-0000-000038000000}"/>
    <cellStyle name="Millares 3 2" xfId="39" xr:uid="{00000000-0005-0000-0000-000039000000}"/>
    <cellStyle name="Millares 30" xfId="114" xr:uid="{00000000-0005-0000-0000-00003A000000}"/>
    <cellStyle name="Millares 31" xfId="116" xr:uid="{00000000-0005-0000-0000-00003B000000}"/>
    <cellStyle name="Millares 32" xfId="122" xr:uid="{00000000-0005-0000-0000-00003C000000}"/>
    <cellStyle name="Millares 33" xfId="132" xr:uid="{6EF1C6EF-10CE-4BCA-8ED2-A5906E6AC786}"/>
    <cellStyle name="Millares 34" xfId="137" xr:uid="{C1D62BE1-017E-4380-B8E2-2BD22437B9BC}"/>
    <cellStyle name="Millares 35" xfId="141" xr:uid="{319B9795-850E-471B-9669-080B2D3167D8}"/>
    <cellStyle name="Millares 36" xfId="144" xr:uid="{2A35FD89-CFFA-44A3-884F-726441185D27}"/>
    <cellStyle name="Millares 4" xfId="40" xr:uid="{00000000-0005-0000-0000-00003D000000}"/>
    <cellStyle name="Millares 4 2" xfId="41" xr:uid="{00000000-0005-0000-0000-00003E000000}"/>
    <cellStyle name="Millares 5" xfId="42" xr:uid="{00000000-0005-0000-0000-00003F000000}"/>
    <cellStyle name="Millares 6" xfId="43" xr:uid="{00000000-0005-0000-0000-000040000000}"/>
    <cellStyle name="Millares 7" xfId="44" xr:uid="{00000000-0005-0000-0000-000041000000}"/>
    <cellStyle name="Millares 8" xfId="45" xr:uid="{00000000-0005-0000-0000-000042000000}"/>
    <cellStyle name="Millares 9" xfId="46" xr:uid="{00000000-0005-0000-0000-000043000000}"/>
    <cellStyle name="Moneda" xfId="47" builtinId="4"/>
    <cellStyle name="Neutral" xfId="48" builtinId="28" customBuiltin="1"/>
    <cellStyle name="Normal" xfId="0" builtinId="0"/>
    <cellStyle name="Normal 10" xfId="102" xr:uid="{00000000-0005-0000-0000-000047000000}"/>
    <cellStyle name="Normal 11" xfId="103" xr:uid="{00000000-0005-0000-0000-000048000000}"/>
    <cellStyle name="Normal 12" xfId="104" xr:uid="{00000000-0005-0000-0000-000049000000}"/>
    <cellStyle name="Normal 13" xfId="105" xr:uid="{00000000-0005-0000-0000-00004A000000}"/>
    <cellStyle name="Normal 14" xfId="106" xr:uid="{00000000-0005-0000-0000-00004B000000}"/>
    <cellStyle name="Normal 15" xfId="110" xr:uid="{00000000-0005-0000-0000-00004C000000}"/>
    <cellStyle name="Normal 16" xfId="111" xr:uid="{00000000-0005-0000-0000-00004D000000}"/>
    <cellStyle name="Normal 17" xfId="118" xr:uid="{00000000-0005-0000-0000-00004E000000}"/>
    <cellStyle name="Normal 18" xfId="119" xr:uid="{00000000-0005-0000-0000-00004F000000}"/>
    <cellStyle name="Normal 19" xfId="120" xr:uid="{00000000-0005-0000-0000-000050000000}"/>
    <cellStyle name="Normal 2" xfId="49" xr:uid="{00000000-0005-0000-0000-000051000000}"/>
    <cellStyle name="Normal 20" xfId="121" xr:uid="{00000000-0005-0000-0000-000052000000}"/>
    <cellStyle name="Normal 21" xfId="124" xr:uid="{00000000-0005-0000-0000-000053000000}"/>
    <cellStyle name="Normal 22" xfId="125" xr:uid="{00000000-0005-0000-0000-000054000000}"/>
    <cellStyle name="Normal 23" xfId="126" xr:uid="{00000000-0005-0000-0000-000055000000}"/>
    <cellStyle name="Normal 24" xfId="127" xr:uid="{00000000-0005-0000-0000-000056000000}"/>
    <cellStyle name="Normal 25" xfId="128" xr:uid="{00000000-0005-0000-0000-000057000000}"/>
    <cellStyle name="Normal 26" xfId="129" xr:uid="{00000000-0005-0000-0000-000058000000}"/>
    <cellStyle name="Normal 27" xfId="130" xr:uid="{00000000-0005-0000-0000-000059000000}"/>
    <cellStyle name="Normal 28" xfId="134" xr:uid="{871B7D40-2144-4095-AECB-47CE1313B9FC}"/>
    <cellStyle name="Normal 29" xfId="135" xr:uid="{9A8C550C-72FB-47F4-9738-C4AD4A0F5A54}"/>
    <cellStyle name="Normal 3" xfId="82" xr:uid="{00000000-0005-0000-0000-00005A000000}"/>
    <cellStyle name="Normal 3 2" xfId="131" xr:uid="{00000000-0005-0000-0000-00005B000000}"/>
    <cellStyle name="Normal 3 3" xfId="143" xr:uid="{57381361-641F-48DB-8ED3-ACD120694CD5}"/>
    <cellStyle name="Normal 30" xfId="139" xr:uid="{7EB8BB63-38AC-47B0-AED1-85C8A35934A2}"/>
    <cellStyle name="Normal 31" xfId="140" xr:uid="{0CEBF840-ED5D-4A42-8873-B3E703424785}"/>
    <cellStyle name="Normal 4" xfId="87" xr:uid="{00000000-0005-0000-0000-00005C000000}"/>
    <cellStyle name="Normal 5" xfId="92" xr:uid="{00000000-0005-0000-0000-00005D000000}"/>
    <cellStyle name="Normal 6" xfId="93" xr:uid="{00000000-0005-0000-0000-00005E000000}"/>
    <cellStyle name="Normal 7" xfId="96" xr:uid="{00000000-0005-0000-0000-00005F000000}"/>
    <cellStyle name="Normal 8" xfId="101" xr:uid="{00000000-0005-0000-0000-000060000000}"/>
    <cellStyle name="Normal 9" xfId="85" xr:uid="{00000000-0005-0000-0000-000061000000}"/>
    <cellStyle name="Notas" xfId="50" builtinId="10" customBuiltin="1"/>
    <cellStyle name="Porcentaje" xfId="81" xr:uid="{00000000-0005-0000-0000-000063000000}"/>
    <cellStyle name="Porcentaje 2" xfId="123" xr:uid="{00000000-0005-0000-0000-000064000000}"/>
    <cellStyle name="Porcentaje 3" xfId="133" xr:uid="{82BF1EB9-679C-4D04-A426-BC1D1624E4BF}"/>
    <cellStyle name="Porcentaje 4" xfId="136" xr:uid="{62AFD84D-6926-4CDE-98E5-CB9D758BFB7F}"/>
    <cellStyle name="Porcentaje 5" xfId="138" xr:uid="{F705DF0E-521A-40A5-BD99-FBC592C94E15}"/>
    <cellStyle name="Porcentaje 6" xfId="142" xr:uid="{F10FF48A-2CB0-447E-A973-55AC0156A6D6}"/>
    <cellStyle name="Porcentaje 7" xfId="145" xr:uid="{C6E675C2-CC76-4596-9721-4489A143AA09}"/>
    <cellStyle name="Porcentual 10" xfId="70" xr:uid="{00000000-0005-0000-0000-000065000000}"/>
    <cellStyle name="Porcentual 11" xfId="51" xr:uid="{00000000-0005-0000-0000-000066000000}"/>
    <cellStyle name="Porcentual 12" xfId="72" xr:uid="{00000000-0005-0000-0000-000067000000}"/>
    <cellStyle name="Porcentual 13" xfId="75" xr:uid="{00000000-0005-0000-0000-000068000000}"/>
    <cellStyle name="Porcentual 14" xfId="80" xr:uid="{00000000-0005-0000-0000-000069000000}"/>
    <cellStyle name="Porcentual 15" xfId="89" xr:uid="{00000000-0005-0000-0000-00006A000000}"/>
    <cellStyle name="Porcentual 16" xfId="91" xr:uid="{00000000-0005-0000-0000-00006B000000}"/>
    <cellStyle name="Porcentual 17" xfId="95" xr:uid="{00000000-0005-0000-0000-00006C000000}"/>
    <cellStyle name="Porcentual 18" xfId="98" xr:uid="{00000000-0005-0000-0000-00006D000000}"/>
    <cellStyle name="Porcentual 19" xfId="100" xr:uid="{00000000-0005-0000-0000-00006E000000}"/>
    <cellStyle name="Porcentual 2" xfId="52" xr:uid="{00000000-0005-0000-0000-00006F000000}"/>
    <cellStyle name="Porcentual 20" xfId="109" xr:uid="{00000000-0005-0000-0000-000070000000}"/>
    <cellStyle name="Porcentual 21" xfId="113" xr:uid="{00000000-0005-0000-0000-000071000000}"/>
    <cellStyle name="Porcentual 22" xfId="115" xr:uid="{00000000-0005-0000-0000-000072000000}"/>
    <cellStyle name="Porcentual 23" xfId="117" xr:uid="{00000000-0005-0000-0000-000073000000}"/>
    <cellStyle name="Porcentual 3" xfId="53" xr:uid="{00000000-0005-0000-0000-000074000000}"/>
    <cellStyle name="Porcentual 4" xfId="54" xr:uid="{00000000-0005-0000-0000-000075000000}"/>
    <cellStyle name="Porcentual 5" xfId="55" xr:uid="{00000000-0005-0000-0000-000076000000}"/>
    <cellStyle name="Porcentual 6" xfId="56" xr:uid="{00000000-0005-0000-0000-000077000000}"/>
    <cellStyle name="Porcentual 7" xfId="57" xr:uid="{00000000-0005-0000-0000-000078000000}"/>
    <cellStyle name="Porcentual 8" xfId="58" xr:uid="{00000000-0005-0000-0000-000079000000}"/>
    <cellStyle name="Porcentual 9" xfId="59" xr:uid="{00000000-0005-0000-0000-00007A000000}"/>
    <cellStyle name="Saldos" xfId="60" xr:uid="{00000000-0005-0000-0000-00007B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6" builtinId="17" customBuiltin="1"/>
    <cellStyle name="Título 3" xfId="67" builtinId="18" customBuiltin="1"/>
    <cellStyle name="Total" xfId="68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52F6"/>
      <color rgb="FF003192"/>
      <color rgb="FF7C3B06"/>
      <color rgb="FF9D4B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GRAFICAS!$B$8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GRAFICAS!$B$9:$B$11</c:f>
              <c:numCache>
                <c:formatCode>_(* #,##0_);_(* \(#,##0\);_(* "-"??_);_(@_)</c:formatCode>
                <c:ptCount val="3"/>
                <c:pt idx="0">
                  <c:v>19299621.387999997</c:v>
                </c:pt>
                <c:pt idx="1">
                  <c:v>796100</c:v>
                </c:pt>
                <c:pt idx="2">
                  <c:v>21557886.515479997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D-4E2C-8ACE-DEC268082DD7}"/>
            </c:ext>
          </c:extLst>
        </c:ser>
        <c:ser>
          <c:idx val="1"/>
          <c:order val="1"/>
          <c:tx>
            <c:strRef>
              <c:f>GRAFICAS!$C$8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GRAFICAS!$C$9:$C$11</c:f>
              <c:numCache>
                <c:formatCode>_(* #,##0_);_(* \(#,##0\);_(* "-"??_);_(@_)</c:formatCode>
                <c:ptCount val="3"/>
                <c:pt idx="0">
                  <c:v>15074778.560000001</c:v>
                </c:pt>
                <c:pt idx="1">
                  <c:v>347734.57</c:v>
                </c:pt>
                <c:pt idx="2">
                  <c:v>8055970.5700000003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D-4E2C-8ACE-DEC268082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42464"/>
        <c:axId val="90544000"/>
      </c:barChart>
      <c:catAx>
        <c:axId val="905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4000"/>
        <c:crosses val="autoZero"/>
        <c:auto val="1"/>
        <c:lblAlgn val="ctr"/>
        <c:lblOffset val="100"/>
        <c:noMultiLvlLbl val="0"/>
      </c:catAx>
      <c:valAx>
        <c:axId val="90544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2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GRAFICAS!$B$36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GRAFICAS!$B$37:$B$38</c:f>
              <c:numCache>
                <c:formatCode>_(* #,##0_);_(* \(#,##0\);_(* "-"??_);_(@_)</c:formatCode>
                <c:ptCount val="2"/>
                <c:pt idx="0">
                  <c:v>1063271.0400000003</c:v>
                </c:pt>
                <c:pt idx="1">
                  <c:v>95770760.764800012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6-44C8-B931-3F07145B2D7A}"/>
            </c:ext>
          </c:extLst>
        </c:ser>
        <c:ser>
          <c:idx val="1"/>
          <c:order val="1"/>
          <c:tx>
            <c:strRef>
              <c:f>GRAFICAS!$C$36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GRAFICAS!$C$37:$C$38</c:f>
              <c:numCache>
                <c:formatCode>_(* #,##0_);_(* \(#,##0\);_(* "-"??_);_(@_)</c:formatCode>
                <c:ptCount val="2"/>
                <c:pt idx="0">
                  <c:v>382059.14</c:v>
                </c:pt>
                <c:pt idx="1">
                  <c:v>27054428.339999996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6-44C8-B931-3F07145B2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1280"/>
        <c:axId val="90444544"/>
      </c:barChart>
      <c:catAx>
        <c:axId val="907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444544"/>
        <c:crosses val="autoZero"/>
        <c:auto val="1"/>
        <c:lblAlgn val="ctr"/>
        <c:lblOffset val="100"/>
        <c:noMultiLvlLbl val="0"/>
      </c:catAx>
      <c:valAx>
        <c:axId val="904445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721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0</xdr:row>
      <xdr:rowOff>0</xdr:rowOff>
    </xdr:from>
    <xdr:to>
      <xdr:col>2</xdr:col>
      <xdr:colOff>323850</xdr:colOff>
      <xdr:row>0</xdr:row>
      <xdr:rowOff>0</xdr:rowOff>
    </xdr:to>
    <xdr:pic>
      <xdr:nvPicPr>
        <xdr:cNvPr id="2131733" name="Picture 1">
          <a:extLst>
            <a:ext uri="{FF2B5EF4-FFF2-40B4-BE49-F238E27FC236}">
              <a16:creationId xmlns:a16="http://schemas.microsoft.com/office/drawing/2014/main" id="{00000000-0008-0000-0200-00001587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5" y="0"/>
          <a:ext cx="1276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47625</xdr:rowOff>
    </xdr:from>
    <xdr:to>
      <xdr:col>2</xdr:col>
      <xdr:colOff>866775</xdr:colOff>
      <xdr:row>31</xdr:row>
      <xdr:rowOff>38100</xdr:rowOff>
    </xdr:to>
    <xdr:graphicFrame macro="">
      <xdr:nvGraphicFramePr>
        <xdr:cNvPr id="2623620" name="10 Gráfico">
          <a:extLst>
            <a:ext uri="{FF2B5EF4-FFF2-40B4-BE49-F238E27FC236}">
              <a16:creationId xmlns:a16="http://schemas.microsoft.com/office/drawing/2014/main" id="{00000000-0008-0000-0400-000084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41</xdr:row>
      <xdr:rowOff>28575</xdr:rowOff>
    </xdr:from>
    <xdr:to>
      <xdr:col>2</xdr:col>
      <xdr:colOff>857250</xdr:colOff>
      <xdr:row>58</xdr:row>
      <xdr:rowOff>19050</xdr:rowOff>
    </xdr:to>
    <xdr:graphicFrame macro="">
      <xdr:nvGraphicFramePr>
        <xdr:cNvPr id="2623621" name="11 Gráfico">
          <a:extLst>
            <a:ext uri="{FF2B5EF4-FFF2-40B4-BE49-F238E27FC236}">
              <a16:creationId xmlns:a16="http://schemas.microsoft.com/office/drawing/2014/main" id="{00000000-0008-0000-0400-000085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609725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6</xdr:col>
      <xdr:colOff>0</xdr:colOff>
      <xdr:row>55</xdr:row>
      <xdr:rowOff>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96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6</xdr:col>
      <xdr:colOff>0</xdr:colOff>
      <xdr:row>107</xdr:row>
      <xdr:rowOff>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8588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6216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6</xdr:col>
      <xdr:colOff>0</xdr:colOff>
      <xdr:row>210</xdr:row>
      <xdr:rowOff>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3843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6</xdr:col>
      <xdr:colOff>0</xdr:colOff>
      <xdr:row>260</xdr:row>
      <xdr:rowOff>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166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6</xdr:col>
      <xdr:colOff>0</xdr:colOff>
      <xdr:row>310</xdr:row>
      <xdr:rowOff>0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9384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6</xdr:col>
      <xdr:colOff>0</xdr:colOff>
      <xdr:row>360</xdr:row>
      <xdr:rowOff>0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7202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6</xdr:col>
      <xdr:colOff>0</xdr:colOff>
      <xdr:row>412</xdr:row>
      <xdr:rowOff>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4830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6</xdr:col>
      <xdr:colOff>0</xdr:colOff>
      <xdr:row>461</xdr:row>
      <xdr:rowOff>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2648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6</xdr:col>
      <xdr:colOff>0</xdr:colOff>
      <xdr:row>512</xdr:row>
      <xdr:rowOff>0</xdr:rowOff>
    </xdr:to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0370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6</xdr:col>
      <xdr:colOff>0</xdr:colOff>
      <xdr:row>562</xdr:row>
      <xdr:rowOff>0</xdr:rowOff>
    </xdr:to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8093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6</xdr:col>
      <xdr:colOff>0</xdr:colOff>
      <xdr:row>613</xdr:row>
      <xdr:rowOff>0</xdr:rowOff>
    </xdr:to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5721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6</xdr:col>
      <xdr:colOff>0</xdr:colOff>
      <xdr:row>663</xdr:row>
      <xdr:rowOff>0</xdr:rowOff>
    </xdr:to>
    <xdr:pic>
      <xdr:nvPicPr>
        <xdr:cNvPr id="15" name="image14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3443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6</xdr:col>
      <xdr:colOff>0</xdr:colOff>
      <xdr:row>714</xdr:row>
      <xdr:rowOff>0</xdr:rowOff>
    </xdr:to>
    <xdr:pic>
      <xdr:nvPicPr>
        <xdr:cNvPr id="16" name="image15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107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6</xdr:col>
      <xdr:colOff>0</xdr:colOff>
      <xdr:row>765</xdr:row>
      <xdr:rowOff>0</xdr:rowOff>
    </xdr:to>
    <xdr:pic>
      <xdr:nvPicPr>
        <xdr:cNvPr id="17" name="image16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8794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6</xdr:col>
      <xdr:colOff>0</xdr:colOff>
      <xdr:row>816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86516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6</xdr:col>
      <xdr:colOff>0</xdr:colOff>
      <xdr:row>867</xdr:row>
      <xdr:rowOff>0</xdr:rowOff>
    </xdr:to>
    <xdr:pic>
      <xdr:nvPicPr>
        <xdr:cNvPr id="19" name="image18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239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6</xdr:col>
      <xdr:colOff>0</xdr:colOff>
      <xdr:row>915</xdr:row>
      <xdr:rowOff>0</xdr:rowOff>
    </xdr:to>
    <xdr:pic>
      <xdr:nvPicPr>
        <xdr:cNvPr id="20" name="image19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2057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6</xdr:col>
      <xdr:colOff>0</xdr:colOff>
      <xdr:row>964</xdr:row>
      <xdr:rowOff>0</xdr:rowOff>
    </xdr:to>
    <xdr:pic>
      <xdr:nvPicPr>
        <xdr:cNvPr id="21" name="image20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9875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1010</xdr:row>
      <xdr:rowOff>0</xdr:rowOff>
    </xdr:from>
    <xdr:to>
      <xdr:col>6</xdr:col>
      <xdr:colOff>0</xdr:colOff>
      <xdr:row>1013</xdr:row>
      <xdr:rowOff>0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57693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6</xdr:col>
      <xdr:colOff>0</xdr:colOff>
      <xdr:row>1061</xdr:row>
      <xdr:rowOff>0</xdr:rowOff>
    </xdr:to>
    <xdr:pic>
      <xdr:nvPicPr>
        <xdr:cNvPr id="23" name="image2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5606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1105</xdr:row>
      <xdr:rowOff>0</xdr:rowOff>
    </xdr:from>
    <xdr:to>
      <xdr:col>6</xdr:col>
      <xdr:colOff>0</xdr:colOff>
      <xdr:row>1108</xdr:row>
      <xdr:rowOff>0</xdr:rowOff>
    </xdr:to>
    <xdr:pic>
      <xdr:nvPicPr>
        <xdr:cNvPr id="24" name="image23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3520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1151</xdr:row>
      <xdr:rowOff>0</xdr:rowOff>
    </xdr:from>
    <xdr:to>
      <xdr:col>6</xdr:col>
      <xdr:colOff>0</xdr:colOff>
      <xdr:row>1154</xdr:row>
      <xdr:rowOff>0</xdr:rowOff>
    </xdr:to>
    <xdr:pic>
      <xdr:nvPicPr>
        <xdr:cNvPr id="25" name="image24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61528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1198</xdr:row>
      <xdr:rowOff>0</xdr:rowOff>
    </xdr:from>
    <xdr:to>
      <xdr:col>6</xdr:col>
      <xdr:colOff>0</xdr:colOff>
      <xdr:row>1201</xdr:row>
      <xdr:rowOff>0</xdr:rowOff>
    </xdr:to>
    <xdr:pic>
      <xdr:nvPicPr>
        <xdr:cNvPr id="26" name="image25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2944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1236</xdr:row>
      <xdr:rowOff>0</xdr:rowOff>
    </xdr:from>
    <xdr:to>
      <xdr:col>6</xdr:col>
      <xdr:colOff>0</xdr:colOff>
      <xdr:row>1239</xdr:row>
      <xdr:rowOff>0</xdr:rowOff>
    </xdr:to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9783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1271</xdr:row>
      <xdr:rowOff>0</xdr:rowOff>
    </xdr:from>
    <xdr:to>
      <xdr:col>6</xdr:col>
      <xdr:colOff>0</xdr:colOff>
      <xdr:row>1274</xdr:row>
      <xdr:rowOff>0</xdr:rowOff>
    </xdr:to>
    <xdr:pic>
      <xdr:nvPicPr>
        <xdr:cNvPr id="28" name="image27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641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1306</xdr:row>
      <xdr:rowOff>0</xdr:rowOff>
    </xdr:from>
    <xdr:to>
      <xdr:col>6</xdr:col>
      <xdr:colOff>0</xdr:colOff>
      <xdr:row>1309</xdr:row>
      <xdr:rowOff>0</xdr:rowOff>
    </xdr:to>
    <xdr:pic>
      <xdr:nvPicPr>
        <xdr:cNvPr id="29" name="image28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3499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1341</xdr:row>
      <xdr:rowOff>0</xdr:rowOff>
    </xdr:from>
    <xdr:to>
      <xdr:col>6</xdr:col>
      <xdr:colOff>0</xdr:colOff>
      <xdr:row>1344</xdr:row>
      <xdr:rowOff>0</xdr:rowOff>
    </xdr:to>
    <xdr:pic>
      <xdr:nvPicPr>
        <xdr:cNvPr id="30" name="image29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357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1376</xdr:row>
      <xdr:rowOff>0</xdr:rowOff>
    </xdr:from>
    <xdr:to>
      <xdr:col>6</xdr:col>
      <xdr:colOff>0</xdr:colOff>
      <xdr:row>1379</xdr:row>
      <xdr:rowOff>0</xdr:rowOff>
    </xdr:to>
    <xdr:pic>
      <xdr:nvPicPr>
        <xdr:cNvPr id="31" name="image30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7215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1411</xdr:row>
      <xdr:rowOff>0</xdr:rowOff>
    </xdr:from>
    <xdr:to>
      <xdr:col>6</xdr:col>
      <xdr:colOff>0</xdr:colOff>
      <xdr:row>1414</xdr:row>
      <xdr:rowOff>0</xdr:rowOff>
    </xdr:to>
    <xdr:pic>
      <xdr:nvPicPr>
        <xdr:cNvPr id="32" name="image31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4073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1446</xdr:row>
      <xdr:rowOff>0</xdr:rowOff>
    </xdr:from>
    <xdr:to>
      <xdr:col>6</xdr:col>
      <xdr:colOff>0</xdr:colOff>
      <xdr:row>1449</xdr:row>
      <xdr:rowOff>0</xdr:rowOff>
    </xdr:to>
    <xdr:pic>
      <xdr:nvPicPr>
        <xdr:cNvPr id="33" name="image32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0931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1481</xdr:row>
      <xdr:rowOff>0</xdr:rowOff>
    </xdr:from>
    <xdr:to>
      <xdr:col>6</xdr:col>
      <xdr:colOff>0</xdr:colOff>
      <xdr:row>1484</xdr:row>
      <xdr:rowOff>0</xdr:rowOff>
    </xdr:to>
    <xdr:pic>
      <xdr:nvPicPr>
        <xdr:cNvPr id="34" name="image33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7789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1516</xdr:row>
      <xdr:rowOff>0</xdr:rowOff>
    </xdr:from>
    <xdr:to>
      <xdr:col>6</xdr:col>
      <xdr:colOff>0</xdr:colOff>
      <xdr:row>1519</xdr:row>
      <xdr:rowOff>0</xdr:rowOff>
    </xdr:to>
    <xdr:pic>
      <xdr:nvPicPr>
        <xdr:cNvPr id="35" name="image34.pn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4647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1551</xdr:row>
      <xdr:rowOff>0</xdr:rowOff>
    </xdr:from>
    <xdr:to>
      <xdr:col>6</xdr:col>
      <xdr:colOff>0</xdr:colOff>
      <xdr:row>1554</xdr:row>
      <xdr:rowOff>0</xdr:rowOff>
    </xdr:to>
    <xdr:pic>
      <xdr:nvPicPr>
        <xdr:cNvPr id="36" name="image35.pn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1505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1586</xdr:row>
      <xdr:rowOff>0</xdr:rowOff>
    </xdr:from>
    <xdr:to>
      <xdr:col>6</xdr:col>
      <xdr:colOff>0</xdr:colOff>
      <xdr:row>1589</xdr:row>
      <xdr:rowOff>0</xdr:rowOff>
    </xdr:to>
    <xdr:pic>
      <xdr:nvPicPr>
        <xdr:cNvPr id="37" name="image36.pn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8363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1621</xdr:row>
      <xdr:rowOff>0</xdr:rowOff>
    </xdr:from>
    <xdr:to>
      <xdr:col>6</xdr:col>
      <xdr:colOff>0</xdr:colOff>
      <xdr:row>1624</xdr:row>
      <xdr:rowOff>0</xdr:rowOff>
    </xdr:to>
    <xdr:pic>
      <xdr:nvPicPr>
        <xdr:cNvPr id="38" name="image37.pn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5221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1656</xdr:row>
      <xdr:rowOff>0</xdr:rowOff>
    </xdr:from>
    <xdr:to>
      <xdr:col>6</xdr:col>
      <xdr:colOff>0</xdr:colOff>
      <xdr:row>1659</xdr:row>
      <xdr:rowOff>0</xdr:rowOff>
    </xdr:to>
    <xdr:pic>
      <xdr:nvPicPr>
        <xdr:cNvPr id="39" name="image38.pn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2079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1691</xdr:row>
      <xdr:rowOff>0</xdr:rowOff>
    </xdr:from>
    <xdr:to>
      <xdr:col>6</xdr:col>
      <xdr:colOff>0</xdr:colOff>
      <xdr:row>1694</xdr:row>
      <xdr:rowOff>0</xdr:rowOff>
    </xdr:to>
    <xdr:pic>
      <xdr:nvPicPr>
        <xdr:cNvPr id="40" name="image39.pn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8937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1726</xdr:row>
      <xdr:rowOff>0</xdr:rowOff>
    </xdr:from>
    <xdr:to>
      <xdr:col>6</xdr:col>
      <xdr:colOff>0</xdr:colOff>
      <xdr:row>1729</xdr:row>
      <xdr:rowOff>0</xdr:rowOff>
    </xdr:to>
    <xdr:pic>
      <xdr:nvPicPr>
        <xdr:cNvPr id="41" name="image40.pn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5795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1761</xdr:row>
      <xdr:rowOff>0</xdr:rowOff>
    </xdr:from>
    <xdr:to>
      <xdr:col>6</xdr:col>
      <xdr:colOff>0</xdr:colOff>
      <xdr:row>1764</xdr:row>
      <xdr:rowOff>0</xdr:rowOff>
    </xdr:to>
    <xdr:pic>
      <xdr:nvPicPr>
        <xdr:cNvPr id="42" name="image41.pn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2653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1796</xdr:row>
      <xdr:rowOff>0</xdr:rowOff>
    </xdr:from>
    <xdr:to>
      <xdr:col>6</xdr:col>
      <xdr:colOff>0</xdr:colOff>
      <xdr:row>1799</xdr:row>
      <xdr:rowOff>0</xdr:rowOff>
    </xdr:to>
    <xdr:pic>
      <xdr:nvPicPr>
        <xdr:cNvPr id="43" name="image42.pn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511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1831</xdr:row>
      <xdr:rowOff>0</xdr:rowOff>
    </xdr:from>
    <xdr:to>
      <xdr:col>6</xdr:col>
      <xdr:colOff>0</xdr:colOff>
      <xdr:row>1834</xdr:row>
      <xdr:rowOff>0</xdr:rowOff>
    </xdr:to>
    <xdr:pic>
      <xdr:nvPicPr>
        <xdr:cNvPr id="44" name="image43.pn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6369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1866</xdr:row>
      <xdr:rowOff>0</xdr:rowOff>
    </xdr:from>
    <xdr:to>
      <xdr:col>6</xdr:col>
      <xdr:colOff>0</xdr:colOff>
      <xdr:row>1869</xdr:row>
      <xdr:rowOff>0</xdr:rowOff>
    </xdr:to>
    <xdr:pic>
      <xdr:nvPicPr>
        <xdr:cNvPr id="45" name="image44.pn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3227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1901</xdr:row>
      <xdr:rowOff>0</xdr:rowOff>
    </xdr:from>
    <xdr:to>
      <xdr:col>6</xdr:col>
      <xdr:colOff>0</xdr:colOff>
      <xdr:row>1904</xdr:row>
      <xdr:rowOff>0</xdr:rowOff>
    </xdr:to>
    <xdr:pic>
      <xdr:nvPicPr>
        <xdr:cNvPr id="46" name="image45.pn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0085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1936</xdr:row>
      <xdr:rowOff>0</xdr:rowOff>
    </xdr:from>
    <xdr:to>
      <xdr:col>6</xdr:col>
      <xdr:colOff>0</xdr:colOff>
      <xdr:row>1939</xdr:row>
      <xdr:rowOff>0</xdr:rowOff>
    </xdr:to>
    <xdr:pic>
      <xdr:nvPicPr>
        <xdr:cNvPr id="47" name="image46.pn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43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1971</xdr:row>
      <xdr:rowOff>0</xdr:rowOff>
    </xdr:from>
    <xdr:to>
      <xdr:col>6</xdr:col>
      <xdr:colOff>0</xdr:colOff>
      <xdr:row>1974</xdr:row>
      <xdr:rowOff>0</xdr:rowOff>
    </xdr:to>
    <xdr:pic>
      <xdr:nvPicPr>
        <xdr:cNvPr id="48" name="image47.pn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801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2006</xdr:row>
      <xdr:rowOff>0</xdr:rowOff>
    </xdr:from>
    <xdr:to>
      <xdr:col>6</xdr:col>
      <xdr:colOff>0</xdr:colOff>
      <xdr:row>2009</xdr:row>
      <xdr:rowOff>0</xdr:rowOff>
    </xdr:to>
    <xdr:pic>
      <xdr:nvPicPr>
        <xdr:cNvPr id="49" name="image48.pn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0659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2041</xdr:row>
      <xdr:rowOff>0</xdr:rowOff>
    </xdr:from>
    <xdr:to>
      <xdr:col>6</xdr:col>
      <xdr:colOff>0</xdr:colOff>
      <xdr:row>2044</xdr:row>
      <xdr:rowOff>0</xdr:rowOff>
    </xdr:to>
    <xdr:pic>
      <xdr:nvPicPr>
        <xdr:cNvPr id="50" name="image49.png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7517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2076</xdr:row>
      <xdr:rowOff>0</xdr:rowOff>
    </xdr:from>
    <xdr:to>
      <xdr:col>6</xdr:col>
      <xdr:colOff>0</xdr:colOff>
      <xdr:row>2079</xdr:row>
      <xdr:rowOff>0</xdr:rowOff>
    </xdr:to>
    <xdr:pic>
      <xdr:nvPicPr>
        <xdr:cNvPr id="51" name="image50.png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4375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2111</xdr:row>
      <xdr:rowOff>0</xdr:rowOff>
    </xdr:from>
    <xdr:to>
      <xdr:col>6</xdr:col>
      <xdr:colOff>0</xdr:colOff>
      <xdr:row>2114</xdr:row>
      <xdr:rowOff>0</xdr:rowOff>
    </xdr:to>
    <xdr:pic>
      <xdr:nvPicPr>
        <xdr:cNvPr id="52" name="image51.png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1233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2146</xdr:row>
      <xdr:rowOff>0</xdr:rowOff>
    </xdr:from>
    <xdr:to>
      <xdr:col>6</xdr:col>
      <xdr:colOff>0</xdr:colOff>
      <xdr:row>2149</xdr:row>
      <xdr:rowOff>0</xdr:rowOff>
    </xdr:to>
    <xdr:pic>
      <xdr:nvPicPr>
        <xdr:cNvPr id="53" name="image52.png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8091125"/>
          <a:ext cx="1609725" cy="34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69</xdr:row>
      <xdr:rowOff>0</xdr:rowOff>
    </xdr:from>
    <xdr:to>
      <xdr:col>2</xdr:col>
      <xdr:colOff>933451</xdr:colOff>
      <xdr:row>72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866776" y="120586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447675</xdr:colOff>
      <xdr:row>68</xdr:row>
      <xdr:rowOff>142875</xdr:rowOff>
    </xdr:from>
    <xdr:to>
      <xdr:col>5</xdr:col>
      <xdr:colOff>342900</xdr:colOff>
      <xdr:row>72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238750" y="120396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55</xdr:row>
      <xdr:rowOff>57150</xdr:rowOff>
    </xdr:from>
    <xdr:to>
      <xdr:col>3</xdr:col>
      <xdr:colOff>171450</xdr:colOff>
      <xdr:row>58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23925" y="12325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5</xdr:col>
      <xdr:colOff>85724</xdr:colOff>
      <xdr:row>55</xdr:row>
      <xdr:rowOff>38100</xdr:rowOff>
    </xdr:from>
    <xdr:to>
      <xdr:col>6</xdr:col>
      <xdr:colOff>695324</xdr:colOff>
      <xdr:row>58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5295899" y="12306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64</xdr:row>
      <xdr:rowOff>9525</xdr:rowOff>
    </xdr:from>
    <xdr:to>
      <xdr:col>1</xdr:col>
      <xdr:colOff>2809875</xdr:colOff>
      <xdr:row>67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61925" y="98964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1</xdr:col>
      <xdr:colOff>4229099</xdr:colOff>
      <xdr:row>63</xdr:row>
      <xdr:rowOff>152400</xdr:rowOff>
    </xdr:from>
    <xdr:to>
      <xdr:col>5</xdr:col>
      <xdr:colOff>19049</xdr:colOff>
      <xdr:row>67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4533899" y="98774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34</xdr:row>
      <xdr:rowOff>19050</xdr:rowOff>
    </xdr:from>
    <xdr:to>
      <xdr:col>2</xdr:col>
      <xdr:colOff>104775</xdr:colOff>
      <xdr:row>37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85725" y="5848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742949</xdr:colOff>
      <xdr:row>34</xdr:row>
      <xdr:rowOff>0</xdr:rowOff>
    </xdr:from>
    <xdr:to>
      <xdr:col>7</xdr:col>
      <xdr:colOff>466724</xdr:colOff>
      <xdr:row>37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4457699" y="5829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40</xdr:row>
      <xdr:rowOff>142875</xdr:rowOff>
    </xdr:from>
    <xdr:to>
      <xdr:col>2</xdr:col>
      <xdr:colOff>504825</xdr:colOff>
      <xdr:row>43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81000" y="78771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333374</xdr:colOff>
      <xdr:row>40</xdr:row>
      <xdr:rowOff>123825</xdr:rowOff>
    </xdr:from>
    <xdr:to>
      <xdr:col>5</xdr:col>
      <xdr:colOff>790574</xdr:colOff>
      <xdr:row>43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4752974" y="78581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2767263</xdr:colOff>
      <xdr:row>44</xdr:row>
      <xdr:rowOff>79207</xdr:rowOff>
    </xdr:from>
    <xdr:to>
      <xdr:col>3</xdr:col>
      <xdr:colOff>666750</xdr:colOff>
      <xdr:row>47</xdr:row>
      <xdr:rowOff>50632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947737" y="945381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4</xdr:col>
      <xdr:colOff>170948</xdr:colOff>
      <xdr:row>44</xdr:row>
      <xdr:rowOff>60157</xdr:rowOff>
    </xdr:from>
    <xdr:to>
      <xdr:col>5</xdr:col>
      <xdr:colOff>1208672</xdr:colOff>
      <xdr:row>47</xdr:row>
      <xdr:rowOff>31582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7319711" y="943476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70</xdr:row>
      <xdr:rowOff>57150</xdr:rowOff>
    </xdr:from>
    <xdr:to>
      <xdr:col>1</xdr:col>
      <xdr:colOff>3352800</xdr:colOff>
      <xdr:row>73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81025" y="11544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2</xdr:col>
      <xdr:colOff>352424</xdr:colOff>
      <xdr:row>70</xdr:row>
      <xdr:rowOff>38100</xdr:rowOff>
    </xdr:from>
    <xdr:to>
      <xdr:col>3</xdr:col>
      <xdr:colOff>1466849</xdr:colOff>
      <xdr:row>73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4952999" y="115252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133350</xdr:rowOff>
        </xdr:to>
        <xdr:sp macro="" textlink="">
          <xdr:nvSpPr>
            <xdr:cNvPr id="3514369" name="Button 1" hidden="1">
              <a:extLst>
                <a:ext uri="{63B3BB69-23CF-44E3-9099-C40C66FF867C}">
                  <a14:compatExt spid="_x0000_s3514369"/>
                </a:ext>
                <a:ext uri="{FF2B5EF4-FFF2-40B4-BE49-F238E27FC236}">
                  <a16:creationId xmlns:a16="http://schemas.microsoft.com/office/drawing/2014/main" id="{00000000-0008-0000-2500-000001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12</xdr:row>
          <xdr:rowOff>142875</xdr:rowOff>
        </xdr:from>
        <xdr:to>
          <xdr:col>11</xdr:col>
          <xdr:colOff>57150</xdr:colOff>
          <xdr:row>14</xdr:row>
          <xdr:rowOff>0</xdr:rowOff>
        </xdr:to>
        <xdr:sp macro="" textlink="">
          <xdr:nvSpPr>
            <xdr:cNvPr id="3514370" name="Button 2" hidden="1">
              <a:extLst>
                <a:ext uri="{63B3BB69-23CF-44E3-9099-C40C66FF867C}">
                  <a14:compatExt spid="_x0000_s3514370"/>
                </a:ext>
                <a:ext uri="{FF2B5EF4-FFF2-40B4-BE49-F238E27FC236}">
                  <a16:creationId xmlns:a16="http://schemas.microsoft.com/office/drawing/2014/main" id="{00000000-0008-0000-2500-000002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52</xdr:row>
      <xdr:rowOff>504825</xdr:rowOff>
    </xdr:from>
    <xdr:to>
      <xdr:col>12</xdr:col>
      <xdr:colOff>390526</xdr:colOff>
      <xdr:row>67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945" t="29170" r="28981" b="18609"/>
        <a:stretch/>
      </xdr:blipFill>
      <xdr:spPr>
        <a:xfrm>
          <a:off x="13373100" y="10534650"/>
          <a:ext cx="5343526" cy="3819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2234921</xdr:colOff>
      <xdr:row>4</xdr:row>
      <xdr:rowOff>12589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4921" cy="8888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marrufo/Documents/IRC%20TRIMESTRAL/2020/Formatos%20SIF%202do%202020%20Prueba/16_Anal&#237;tico%20del%20Ejercicio%20del%20Presupuesto%20de%20Egresos-Clasificaci&#243;n%20Administrativa%20por%20Depend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E_CA_DEP"/>
      <sheetName val="16_Analítico del Ejercicio del "/>
    </sheetNames>
    <definedNames>
      <definedName name="Agregar_fila"/>
      <definedName name="Borrar_fila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hyperlink" Target="../../../Datos%20de%20programa/Microsoft/Promotora%202005/PROMOTORA%202005/ADQ.%20TERRENOS%20ANAHUAC%20AL%202005.xls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62"/>
  <sheetViews>
    <sheetView tabSelected="1" topLeftCell="A31" workbookViewId="0"/>
  </sheetViews>
  <sheetFormatPr baseColWidth="10" defaultRowHeight="12.75"/>
  <cols>
    <col min="1" max="1" width="48.42578125" customWidth="1"/>
    <col min="2" max="2" width="16.28515625" style="57" customWidth="1"/>
    <col min="3" max="3" width="3.7109375" style="57" customWidth="1"/>
    <col min="4" max="4" width="48.42578125" style="6" customWidth="1"/>
    <col min="5" max="5" width="16.85546875" style="6" customWidth="1"/>
    <col min="6" max="6" width="13.7109375" bestFit="1" customWidth="1"/>
  </cols>
  <sheetData>
    <row r="1" spans="1:5">
      <c r="A1" s="8"/>
      <c r="B1" s="11"/>
      <c r="C1" s="11"/>
      <c r="D1" s="11"/>
    </row>
    <row r="2" spans="1:5">
      <c r="A2" s="8"/>
      <c r="B2" s="11"/>
      <c r="C2" s="11"/>
      <c r="D2" s="11"/>
    </row>
    <row r="3" spans="1:5" ht="15.75">
      <c r="A3" s="1560" t="s">
        <v>2987</v>
      </c>
      <c r="B3" s="1560"/>
      <c r="C3" s="1560"/>
      <c r="D3" s="1560"/>
      <c r="E3" s="1560"/>
    </row>
    <row r="4" spans="1:5" ht="15">
      <c r="A4" s="1559" t="s">
        <v>1004</v>
      </c>
      <c r="B4" s="1559"/>
      <c r="C4" s="1559"/>
      <c r="D4" s="1559"/>
      <c r="E4" s="1559"/>
    </row>
    <row r="5" spans="1:5" ht="15">
      <c r="A5" s="1559" t="s">
        <v>7009</v>
      </c>
      <c r="B5" s="1559"/>
      <c r="C5" s="1559"/>
      <c r="D5" s="1559"/>
      <c r="E5" s="1559"/>
    </row>
    <row r="6" spans="1:5">
      <c r="B6" s="58"/>
      <c r="C6" s="58"/>
      <c r="D6" s="58"/>
    </row>
    <row r="7" spans="1:5">
      <c r="A7" s="592"/>
      <c r="B7" s="593"/>
      <c r="C7" s="593"/>
      <c r="D7" s="593"/>
      <c r="E7" s="594"/>
    </row>
    <row r="8" spans="1:5" s="104" customFormat="1">
      <c r="B8" s="105"/>
      <c r="C8" s="105"/>
      <c r="D8" s="105"/>
      <c r="E8" s="122"/>
    </row>
    <row r="9" spans="1:5" ht="16.5" customHeight="1">
      <c r="A9" s="103" t="s">
        <v>81</v>
      </c>
      <c r="B9" s="6"/>
      <c r="C9" s="6"/>
      <c r="D9" s="103" t="s">
        <v>82</v>
      </c>
    </row>
    <row r="10" spans="1:5" ht="16.5" customHeight="1">
      <c r="B10" s="6"/>
      <c r="C10" s="6"/>
      <c r="D10"/>
    </row>
    <row r="11" spans="1:5" s="2" customFormat="1" ht="16.5" customHeight="1">
      <c r="A11" s="2" t="s">
        <v>68</v>
      </c>
      <c r="B11" s="9"/>
      <c r="C11" s="9"/>
      <c r="D11" s="2" t="s">
        <v>68</v>
      </c>
      <c r="E11" s="9"/>
    </row>
    <row r="12" spans="1:5" ht="16.5" customHeight="1">
      <c r="A12" s="73" t="s">
        <v>187</v>
      </c>
      <c r="B12" s="57">
        <v>11000</v>
      </c>
      <c r="D12" s="73"/>
    </row>
    <row r="13" spans="1:5" ht="16.5" customHeight="1">
      <c r="A13" t="s">
        <v>83</v>
      </c>
      <c r="B13" s="57">
        <v>117340822.77</v>
      </c>
      <c r="D13" s="73"/>
    </row>
    <row r="14" spans="1:5" ht="16.5" customHeight="1">
      <c r="A14" t="s">
        <v>76</v>
      </c>
      <c r="B14" s="57">
        <v>86911032.689999998</v>
      </c>
      <c r="D14" s="73" t="s">
        <v>201</v>
      </c>
      <c r="E14" s="6">
        <v>1694817.41</v>
      </c>
    </row>
    <row r="15" spans="1:5" ht="16.5" customHeight="1">
      <c r="A15" s="73" t="s">
        <v>188</v>
      </c>
      <c r="B15" s="57">
        <v>8309472.2800000003</v>
      </c>
      <c r="D15" s="73" t="s">
        <v>202</v>
      </c>
      <c r="E15" s="6">
        <v>1023243.12</v>
      </c>
    </row>
    <row r="16" spans="1:5" ht="16.5" customHeight="1">
      <c r="A16" s="73" t="s">
        <v>189</v>
      </c>
      <c r="B16" s="87">
        <v>26379.15</v>
      </c>
      <c r="C16" s="87"/>
      <c r="D16" s="73" t="s">
        <v>210</v>
      </c>
      <c r="E16" s="6">
        <v>0</v>
      </c>
    </row>
    <row r="17" spans="1:6" ht="16.5" customHeight="1">
      <c r="A17" s="73" t="s">
        <v>212</v>
      </c>
      <c r="B17" s="87">
        <v>4199899.38</v>
      </c>
      <c r="C17" s="87"/>
      <c r="D17" s="73" t="s">
        <v>214</v>
      </c>
      <c r="E17" s="6">
        <v>46.39</v>
      </c>
    </row>
    <row r="18" spans="1:6" ht="16.5" customHeight="1">
      <c r="A18" s="73" t="s">
        <v>213</v>
      </c>
      <c r="B18" s="87">
        <v>0</v>
      </c>
      <c r="C18" s="87"/>
      <c r="D18" s="73"/>
    </row>
    <row r="19" spans="1:6" ht="16.5" customHeight="1">
      <c r="A19" t="s">
        <v>6</v>
      </c>
      <c r="B19" s="13">
        <v>16301</v>
      </c>
      <c r="C19" s="6"/>
      <c r="D19" s="2" t="s">
        <v>66</v>
      </c>
      <c r="E19" s="9">
        <f>SUM(E12:E18)</f>
        <v>2718106.92</v>
      </c>
    </row>
    <row r="20" spans="1:6" ht="17.25" customHeight="1">
      <c r="A20" s="73" t="s">
        <v>190</v>
      </c>
      <c r="B20" s="57">
        <v>296048.13</v>
      </c>
    </row>
    <row r="21" spans="1:6" ht="17.25" customHeight="1">
      <c r="A21" s="73" t="s">
        <v>5899</v>
      </c>
      <c r="B21" s="57">
        <v>0</v>
      </c>
    </row>
    <row r="22" spans="1:6" ht="16.5" customHeight="1">
      <c r="A22" s="73" t="s">
        <v>191</v>
      </c>
      <c r="B22" s="57">
        <v>168821.74</v>
      </c>
      <c r="D22" s="2" t="s">
        <v>89</v>
      </c>
      <c r="E22" s="9">
        <f>+E27+E19</f>
        <v>2718106.92</v>
      </c>
    </row>
    <row r="23" spans="1:6" ht="16.5" customHeight="1">
      <c r="F23" s="45"/>
    </row>
    <row r="24" spans="1:6" ht="16.5" customHeight="1">
      <c r="D24" s="9"/>
      <c r="E24" s="57"/>
      <c r="F24" s="45"/>
    </row>
    <row r="25" spans="1:6" s="2" customFormat="1" ht="16.5" customHeight="1">
      <c r="A25" s="2" t="s">
        <v>66</v>
      </c>
      <c r="B25" s="44">
        <f>SUM(B12:B24)</f>
        <v>217279777.13999999</v>
      </c>
      <c r="D25" s="6"/>
      <c r="E25" s="6"/>
      <c r="F25" s="46"/>
    </row>
    <row r="26" spans="1:6" ht="16.5" customHeight="1">
      <c r="E26" s="9"/>
      <c r="F26" s="45"/>
    </row>
    <row r="27" spans="1:6" s="2" customFormat="1" ht="16.5" customHeight="1">
      <c r="A27" s="2" t="s">
        <v>69</v>
      </c>
      <c r="E27" s="9"/>
      <c r="F27" s="45"/>
    </row>
    <row r="28" spans="1:6" ht="16.5" customHeight="1">
      <c r="A28" s="73" t="s">
        <v>192</v>
      </c>
      <c r="B28" s="783">
        <v>1758830</v>
      </c>
    </row>
    <row r="29" spans="1:6" ht="16.5" customHeight="1">
      <c r="A29" s="73" t="s">
        <v>193</v>
      </c>
      <c r="B29" s="57">
        <v>0</v>
      </c>
    </row>
    <row r="30" spans="1:6" ht="16.5" customHeight="1">
      <c r="A30" s="73" t="s">
        <v>194</v>
      </c>
      <c r="B30" s="57">
        <v>778410289.61000001</v>
      </c>
    </row>
    <row r="31" spans="1:6" ht="16.5" customHeight="1">
      <c r="A31" s="73" t="s">
        <v>195</v>
      </c>
      <c r="B31" s="57">
        <v>226624924.62</v>
      </c>
      <c r="E31" s="57"/>
    </row>
    <row r="32" spans="1:6" ht="16.5" customHeight="1">
      <c r="A32" s="73" t="s">
        <v>2876</v>
      </c>
      <c r="B32" s="57">
        <v>968057.61</v>
      </c>
      <c r="E32" s="57"/>
    </row>
    <row r="33" spans="1:6" ht="16.5" customHeight="1">
      <c r="A33" s="73" t="s">
        <v>196</v>
      </c>
      <c r="B33" s="57">
        <v>3562906.59</v>
      </c>
    </row>
    <row r="34" spans="1:6" ht="16.5" customHeight="1">
      <c r="A34" s="73" t="s">
        <v>84</v>
      </c>
      <c r="B34" s="57">
        <v>4309336.95</v>
      </c>
      <c r="D34" s="103" t="s">
        <v>103</v>
      </c>
      <c r="E34" s="9"/>
    </row>
    <row r="35" spans="1:6" ht="16.5" customHeight="1">
      <c r="A35" s="73" t="s">
        <v>197</v>
      </c>
      <c r="B35" s="57">
        <v>4493838.5199999996</v>
      </c>
      <c r="D35"/>
    </row>
    <row r="36" spans="1:6" ht="16.5" customHeight="1">
      <c r="A36" s="73" t="s">
        <v>198</v>
      </c>
      <c r="B36" s="57">
        <v>9131355.4499999993</v>
      </c>
      <c r="D36" t="s">
        <v>85</v>
      </c>
      <c r="E36" s="6">
        <f>278482908.9+20576226.51</f>
        <v>299059135.40999997</v>
      </c>
    </row>
    <row r="37" spans="1:6" ht="16.5" customHeight="1">
      <c r="A37" s="73" t="s">
        <v>199</v>
      </c>
      <c r="B37" s="57">
        <v>-32411225.91</v>
      </c>
      <c r="D37" t="s">
        <v>70</v>
      </c>
      <c r="E37" s="6">
        <v>855388979.28999996</v>
      </c>
    </row>
    <row r="38" spans="1:6" ht="16.5" customHeight="1">
      <c r="A38" s="73" t="s">
        <v>200</v>
      </c>
      <c r="B38" s="57">
        <v>-8351169.6699999999</v>
      </c>
      <c r="D38" t="s">
        <v>232</v>
      </c>
      <c r="E38" s="6">
        <v>48610699.289999999</v>
      </c>
    </row>
    <row r="39" spans="1:6" ht="16.5" customHeight="1">
      <c r="D39"/>
    </row>
    <row r="40" spans="1:6" s="2" customFormat="1" ht="16.5" customHeight="1">
      <c r="A40" s="2" t="s">
        <v>67</v>
      </c>
      <c r="B40" s="44">
        <f>SUM(B28:B39)</f>
        <v>988497143.77000022</v>
      </c>
      <c r="D40" s="2" t="s">
        <v>104</v>
      </c>
      <c r="E40" s="9">
        <f>SUM(E36:E39)</f>
        <v>1203058813.9899998</v>
      </c>
    </row>
    <row r="41" spans="1:6" ht="16.5" customHeight="1">
      <c r="B41" s="6"/>
      <c r="C41" s="6"/>
    </row>
    <row r="42" spans="1:6" ht="13.5" thickBot="1">
      <c r="B42" s="6"/>
      <c r="C42" s="6"/>
      <c r="F42" s="45"/>
    </row>
    <row r="43" spans="1:6" s="70" customFormat="1" ht="15.75" thickBot="1">
      <c r="A43" s="101" t="s">
        <v>86</v>
      </c>
      <c r="B43" s="102">
        <f>+B40+B25</f>
        <v>1205776920.9100003</v>
      </c>
      <c r="C43" s="88"/>
      <c r="D43" s="101" t="s">
        <v>105</v>
      </c>
      <c r="E43" s="102">
        <f>+E40+E22</f>
        <v>1205776920.9099998</v>
      </c>
      <c r="F43" s="69"/>
    </row>
    <row r="44" spans="1:6">
      <c r="B44" s="6"/>
      <c r="C44" s="6"/>
      <c r="F44" s="45"/>
    </row>
    <row r="45" spans="1:6">
      <c r="F45" s="45"/>
    </row>
    <row r="46" spans="1:6">
      <c r="D46" s="10"/>
      <c r="E46" s="568"/>
      <c r="F46" s="45"/>
    </row>
    <row r="50" spans="2:6">
      <c r="B50" s="567"/>
    </row>
    <row r="51" spans="2:6">
      <c r="F51" s="45"/>
    </row>
    <row r="52" spans="2:6" s="2" customFormat="1">
      <c r="E52" s="6"/>
      <c r="F52" s="46"/>
    </row>
    <row r="60" spans="2:6" s="2" customFormat="1">
      <c r="E60" s="6"/>
    </row>
    <row r="62" spans="2:6" s="70" customFormat="1" ht="15">
      <c r="E62" s="123"/>
    </row>
  </sheetData>
  <mergeCells count="3">
    <mergeCell ref="A4:E4"/>
    <mergeCell ref="A3:E3"/>
    <mergeCell ref="A5:E5"/>
  </mergeCells>
  <phoneticPr fontId="0" type="noConversion"/>
  <pageMargins left="0.84" right="0.47" top="1.07" bottom="0.27559055118110237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31"/>
  <sheetViews>
    <sheetView topLeftCell="A13" workbookViewId="0">
      <selection activeCell="B26" sqref="B26"/>
    </sheetView>
  </sheetViews>
  <sheetFormatPr baseColWidth="10" defaultRowHeight="12.75"/>
  <cols>
    <col min="1" max="1" width="41.7109375" customWidth="1"/>
    <col min="2" max="2" width="16.7109375" style="6" customWidth="1"/>
    <col min="3" max="3" width="16" style="13" customWidth="1"/>
    <col min="4" max="4" width="14.85546875" style="6" customWidth="1"/>
    <col min="5" max="5" width="11.85546875" bestFit="1" customWidth="1"/>
  </cols>
  <sheetData>
    <row r="1" spans="1:13" s="2" customFormat="1">
      <c r="B1" s="9"/>
      <c r="C1" s="10"/>
      <c r="D1" s="9"/>
    </row>
    <row r="2" spans="1:13" s="2" customFormat="1" ht="15.75">
      <c r="A2" s="1560" t="s">
        <v>2987</v>
      </c>
      <c r="B2" s="1560"/>
      <c r="C2" s="1560"/>
      <c r="D2" s="1560"/>
    </row>
    <row r="3" spans="1:13" s="2" customFormat="1" ht="15">
      <c r="A3" s="1559" t="s">
        <v>204</v>
      </c>
      <c r="B3" s="1559"/>
      <c r="C3" s="1559"/>
      <c r="D3" s="1559"/>
    </row>
    <row r="4" spans="1:13" s="2" customFormat="1">
      <c r="A4" s="1563" t="s">
        <v>7010</v>
      </c>
      <c r="B4" s="1561"/>
      <c r="C4" s="1561"/>
      <c r="D4" s="1561"/>
    </row>
    <row r="5" spans="1:13" s="2" customFormat="1">
      <c r="A5" s="8"/>
      <c r="B5" s="1562"/>
      <c r="C5" s="1562"/>
      <c r="D5" s="1562"/>
      <c r="K5" s="9"/>
      <c r="L5" s="10"/>
      <c r="M5" s="9"/>
    </row>
    <row r="6" spans="1:13" s="2" customFormat="1" ht="15">
      <c r="B6" s="9"/>
      <c r="C6" s="10"/>
      <c r="D6" s="9"/>
      <c r="J6" s="1559"/>
      <c r="K6" s="1559"/>
      <c r="L6" s="1559"/>
      <c r="M6" s="1559"/>
    </row>
    <row r="7" spans="1:13">
      <c r="A7" s="595" t="s">
        <v>101</v>
      </c>
      <c r="B7" s="596" t="s">
        <v>3</v>
      </c>
      <c r="C7" s="596" t="s">
        <v>4</v>
      </c>
      <c r="D7" s="597" t="s">
        <v>5</v>
      </c>
      <c r="J7" s="1561"/>
      <c r="K7" s="1561"/>
      <c r="L7" s="1561"/>
      <c r="M7" s="1561"/>
    </row>
    <row r="8" spans="1:13">
      <c r="B8" s="11"/>
      <c r="C8" s="12"/>
      <c r="D8" s="11"/>
    </row>
    <row r="9" spans="1:13">
      <c r="A9" s="2" t="s">
        <v>92</v>
      </c>
      <c r="B9" s="11"/>
      <c r="C9" s="11"/>
      <c r="D9" s="11"/>
    </row>
    <row r="10" spans="1:13">
      <c r="A10" s="7"/>
      <c r="B10" s="14"/>
      <c r="C10" s="14"/>
      <c r="D10" s="14"/>
    </row>
    <row r="11" spans="1:13">
      <c r="A11" s="73" t="s">
        <v>182</v>
      </c>
      <c r="B11" s="14">
        <f>SUM('PRESUP ORIGINAL'!D207:O207)</f>
        <v>96844862.481615707</v>
      </c>
      <c r="C11" s="14">
        <f>INGRESOS!C34</f>
        <v>93465870.250000015</v>
      </c>
      <c r="D11" s="14">
        <f>+B11-C11</f>
        <v>3378992.2316156924</v>
      </c>
    </row>
    <row r="12" spans="1:13">
      <c r="A12" s="7" t="s">
        <v>10</v>
      </c>
      <c r="B12" s="14">
        <f>SUM('PRESUP ORIGINAL'!D224:O224)</f>
        <v>0</v>
      </c>
      <c r="C12" s="14">
        <f>+INGRESOS!C41</f>
        <v>0</v>
      </c>
      <c r="D12" s="14">
        <f>+B12-C12</f>
        <v>0</v>
      </c>
    </row>
    <row r="13" spans="1:13">
      <c r="A13" s="73" t="s">
        <v>1859</v>
      </c>
      <c r="B13" s="14">
        <f>SUM('PRESUP ORIGINAL'!D216:O216)</f>
        <v>4255291.26</v>
      </c>
      <c r="C13" s="14">
        <f>+INGRESOS!C47</f>
        <v>4568337.2</v>
      </c>
      <c r="D13" s="14"/>
    </row>
    <row r="14" spans="1:13">
      <c r="A14" s="73" t="s">
        <v>186</v>
      </c>
      <c r="B14" s="14">
        <f>SUM('PRESUP ORIGINAL'!D229:O229)</f>
        <v>3609721.7481223745</v>
      </c>
      <c r="C14" s="14">
        <f>+INGRESOS!C57</f>
        <v>8252276.3100000005</v>
      </c>
      <c r="D14" s="14">
        <f>+B14-C14</f>
        <v>-4642554.561877626</v>
      </c>
    </row>
    <row r="15" spans="1:13">
      <c r="A15" s="73" t="s">
        <v>1039</v>
      </c>
      <c r="B15" s="14">
        <v>0</v>
      </c>
      <c r="C15" s="14">
        <f>+INGRESOS!C63</f>
        <v>0</v>
      </c>
      <c r="D15" s="14">
        <f>+B15-C15</f>
        <v>0</v>
      </c>
    </row>
    <row r="16" spans="1:13">
      <c r="A16" s="7"/>
      <c r="B16" s="14"/>
      <c r="C16" s="14"/>
      <c r="D16" s="14"/>
    </row>
    <row r="17" spans="1:5" s="2" customFormat="1">
      <c r="A17" s="24" t="s">
        <v>93</v>
      </c>
      <c r="B17" s="34">
        <f>SUM(B11:B16)</f>
        <v>104709875.48973809</v>
      </c>
      <c r="C17" s="34">
        <f>SUM(C11:C16)</f>
        <v>106286483.76000002</v>
      </c>
      <c r="D17" s="100">
        <f>SUM(D11:D16)</f>
        <v>-1263562.3302619336</v>
      </c>
    </row>
    <row r="18" spans="1:5">
      <c r="A18" s="7"/>
      <c r="B18" s="14"/>
      <c r="C18" s="14"/>
      <c r="D18" s="14"/>
    </row>
    <row r="19" spans="1:5">
      <c r="A19" s="135" t="s">
        <v>961</v>
      </c>
      <c r="B19" s="14"/>
      <c r="C19" s="14"/>
      <c r="D19" s="14"/>
    </row>
    <row r="20" spans="1:5">
      <c r="A20" s="2"/>
      <c r="B20" s="14"/>
      <c r="C20" s="14"/>
      <c r="D20" s="14"/>
    </row>
    <row r="21" spans="1:5">
      <c r="A21" s="73" t="s">
        <v>234</v>
      </c>
      <c r="B21" s="14">
        <f>+'VARIACIONES EGRESOS'!Q59</f>
        <v>42670602.187696993</v>
      </c>
      <c r="C21" s="14">
        <f>+'VARIACIONES EGRESOS'!R59</f>
        <v>24272698.580000002</v>
      </c>
      <c r="D21" s="14">
        <f>+B21-C21</f>
        <v>18397903.607696991</v>
      </c>
    </row>
    <row r="22" spans="1:5">
      <c r="A22" s="73" t="s">
        <v>183</v>
      </c>
      <c r="B22" s="14">
        <f>+'VARIACIONES EGRESOS'!Q143</f>
        <v>98273171.228800014</v>
      </c>
      <c r="C22" s="14">
        <f>+'VARIACIONES EGRESOS'!R143</f>
        <v>27911275.870000001</v>
      </c>
      <c r="D22" s="14">
        <f>+B22-C22</f>
        <v>70361895.358800009</v>
      </c>
    </row>
    <row r="23" spans="1:5">
      <c r="A23" s="73" t="s">
        <v>50</v>
      </c>
      <c r="B23" s="14">
        <f>SUM('PRESUP ORIGINAL'!D140:O140)</f>
        <v>40000000</v>
      </c>
      <c r="C23" s="14">
        <f>+EGRESOS!C49+EGRESOS!C56</f>
        <v>0</v>
      </c>
      <c r="D23" s="14">
        <f>+B23-C23</f>
        <v>40000000</v>
      </c>
    </row>
    <row r="24" spans="1:5">
      <c r="A24" s="73" t="s">
        <v>185</v>
      </c>
      <c r="B24" s="14">
        <f>SUM('PRESUP ORIGINAL'!D137:O139)</f>
        <v>650000.00000000035</v>
      </c>
      <c r="C24" s="14">
        <f>+EGRESOS!C63-EGRESOS!C60</f>
        <v>253931.00999999978</v>
      </c>
      <c r="D24" s="14">
        <f>+B24-C24</f>
        <v>396068.99000000057</v>
      </c>
    </row>
    <row r="25" spans="1:5">
      <c r="A25" s="78" t="s">
        <v>47</v>
      </c>
      <c r="B25" s="14">
        <f>SUM('VARIACIONES EGRESOS'!D149:O149)</f>
        <v>6700000</v>
      </c>
      <c r="C25" s="14">
        <f>+EGRESOS!C60</f>
        <v>5237879.01</v>
      </c>
      <c r="D25" s="14">
        <f>+B25-C25</f>
        <v>1462120.9900000002</v>
      </c>
    </row>
    <row r="26" spans="1:5">
      <c r="A26" s="7"/>
      <c r="B26" s="14"/>
      <c r="C26" s="14"/>
      <c r="D26" s="14"/>
    </row>
    <row r="27" spans="1:5" s="2" customFormat="1">
      <c r="A27" s="99" t="s">
        <v>94</v>
      </c>
      <c r="B27" s="34">
        <f>SUM(B21:B26)</f>
        <v>188293773.41649699</v>
      </c>
      <c r="C27" s="34">
        <f>SUM(C21:C26)</f>
        <v>57675784.469999999</v>
      </c>
      <c r="D27" s="34">
        <f>SUM(D21:D26)</f>
        <v>130617988.94649699</v>
      </c>
    </row>
    <row r="28" spans="1:5">
      <c r="A28" s="7"/>
      <c r="B28" s="14"/>
      <c r="C28" s="14"/>
      <c r="D28" s="14"/>
    </row>
    <row r="29" spans="1:5" s="2" customFormat="1" ht="13.5" thickBot="1">
      <c r="A29" s="552" t="s">
        <v>1702</v>
      </c>
      <c r="B29" s="98">
        <f>+B17-B27</f>
        <v>-83583897.9267589</v>
      </c>
      <c r="C29" s="98">
        <f>+C17-C27</f>
        <v>48610699.290000021</v>
      </c>
      <c r="D29" s="98">
        <f>+D17-D27</f>
        <v>-131881551.27675892</v>
      </c>
    </row>
    <row r="30" spans="1:5" ht="13.5" thickTop="1"/>
    <row r="31" spans="1:5">
      <c r="E31" s="68"/>
    </row>
  </sheetData>
  <mergeCells count="6">
    <mergeCell ref="J7:M7"/>
    <mergeCell ref="A2:D2"/>
    <mergeCell ref="B5:D5"/>
    <mergeCell ref="A3:D3"/>
    <mergeCell ref="A4:D4"/>
    <mergeCell ref="J6:M6"/>
  </mergeCells>
  <phoneticPr fontId="14" type="noConversion"/>
  <pageMargins left="0.75" right="0.75" top="0.59" bottom="0.37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4:P49"/>
  <sheetViews>
    <sheetView workbookViewId="0">
      <pane xSplit="2" ySplit="11" topLeftCell="C42" activePane="bottomRight" state="frozen"/>
      <selection pane="topRight" activeCell="C1" sqref="C1"/>
      <selection pane="bottomLeft" activeCell="A14" sqref="A14"/>
      <selection pane="bottomRight" activeCell="A6" sqref="A6:L6"/>
    </sheetView>
  </sheetViews>
  <sheetFormatPr baseColWidth="10" defaultColWidth="11.5703125" defaultRowHeight="12"/>
  <cols>
    <col min="1" max="1" width="1.85546875" style="1" customWidth="1"/>
    <col min="2" max="2" width="34.85546875" style="1" customWidth="1"/>
    <col min="3" max="11" width="15.28515625" style="5" customWidth="1"/>
    <col min="12" max="12" width="13" style="5" customWidth="1"/>
    <col min="13" max="13" width="11.5703125" style="1"/>
    <col min="14" max="14" width="12.42578125" style="1" customWidth="1"/>
    <col min="15" max="16384" width="11.5703125" style="1"/>
  </cols>
  <sheetData>
    <row r="4" spans="1:16" ht="15.75">
      <c r="A4" s="1560" t="s">
        <v>2987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</row>
    <row r="5" spans="1:16" ht="15.75">
      <c r="A5" s="1560" t="s">
        <v>31</v>
      </c>
      <c r="B5" s="1560"/>
      <c r="C5" s="1560"/>
      <c r="D5" s="1560"/>
      <c r="E5" s="1560"/>
      <c r="F5" s="1560"/>
      <c r="G5" s="1560"/>
      <c r="H5" s="1560"/>
      <c r="I5" s="1560"/>
      <c r="J5" s="1560"/>
      <c r="K5" s="1560"/>
      <c r="L5" s="1560"/>
    </row>
    <row r="6" spans="1:16" ht="15">
      <c r="A6" s="1559" t="str">
        <f>+'PPTO RESULTADOS'!A4:D4</f>
        <v>DEL 1o. DE ENERO AL 31 DE DICIEMBRE DE 2021</v>
      </c>
      <c r="B6" s="1559"/>
      <c r="C6" s="1559"/>
      <c r="D6" s="1559"/>
      <c r="E6" s="1559"/>
      <c r="F6" s="1559"/>
      <c r="G6" s="1559"/>
      <c r="H6" s="1559"/>
      <c r="I6" s="1559"/>
      <c r="J6" s="1559"/>
      <c r="K6" s="1559"/>
      <c r="L6" s="1559"/>
    </row>
    <row r="7" spans="1:16">
      <c r="A7" s="17"/>
      <c r="B7" s="17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6">
      <c r="A8" s="17"/>
      <c r="B8" s="17"/>
      <c r="C8" s="36"/>
      <c r="D8" s="36"/>
      <c r="E8" s="36"/>
      <c r="F8" s="36"/>
      <c r="G8" s="36"/>
      <c r="H8" s="36"/>
      <c r="I8" s="36"/>
      <c r="J8" s="36"/>
      <c r="K8" s="36"/>
      <c r="L8" s="36"/>
    </row>
    <row r="10" spans="1:16" s="3" customFormat="1">
      <c r="A10" s="598"/>
      <c r="B10" s="599"/>
      <c r="C10" s="600" t="s">
        <v>223</v>
      </c>
      <c r="D10" s="600" t="s">
        <v>36</v>
      </c>
      <c r="E10" s="601" t="s">
        <v>32</v>
      </c>
      <c r="F10" s="600" t="s">
        <v>34</v>
      </c>
      <c r="G10" s="601" t="s">
        <v>34</v>
      </c>
      <c r="H10" s="600" t="s">
        <v>34</v>
      </c>
      <c r="I10" s="600" t="s">
        <v>32</v>
      </c>
      <c r="J10" s="600"/>
      <c r="K10" s="600" t="s">
        <v>6523</v>
      </c>
      <c r="L10" s="602"/>
      <c r="N10" s="600"/>
      <c r="O10" s="600"/>
      <c r="P10" s="600"/>
    </row>
    <row r="11" spans="1:16" s="3" customFormat="1">
      <c r="A11" s="603"/>
      <c r="B11" s="604"/>
      <c r="C11" s="605" t="s">
        <v>224</v>
      </c>
      <c r="D11" s="605" t="s">
        <v>15</v>
      </c>
      <c r="E11" s="606" t="s">
        <v>33</v>
      </c>
      <c r="F11" s="605" t="s">
        <v>21</v>
      </c>
      <c r="G11" s="606" t="s">
        <v>35</v>
      </c>
      <c r="H11" s="605" t="s">
        <v>24</v>
      </c>
      <c r="I11" s="605" t="s">
        <v>225</v>
      </c>
      <c r="J11" s="605" t="s">
        <v>6381</v>
      </c>
      <c r="K11" s="605" t="s">
        <v>6524</v>
      </c>
      <c r="L11" s="605" t="s">
        <v>9</v>
      </c>
      <c r="N11" s="605" t="s">
        <v>1828</v>
      </c>
      <c r="O11" s="605" t="s">
        <v>1829</v>
      </c>
      <c r="P11" s="605" t="s">
        <v>87</v>
      </c>
    </row>
    <row r="12" spans="1:16">
      <c r="A12" s="20"/>
      <c r="B12" s="21"/>
      <c r="C12" s="23"/>
      <c r="D12" s="23"/>
      <c r="F12" s="23"/>
      <c r="H12" s="23"/>
      <c r="I12" s="23"/>
      <c r="J12" s="23"/>
      <c r="K12" s="23"/>
      <c r="L12" s="23"/>
      <c r="N12" s="570"/>
      <c r="O12" s="570"/>
      <c r="P12" s="570"/>
    </row>
    <row r="13" spans="1:16" s="3" customFormat="1">
      <c r="A13" s="18" t="s">
        <v>182</v>
      </c>
      <c r="B13" s="19"/>
      <c r="C13" s="37">
        <f>SUM(C15:C16)</f>
        <v>0</v>
      </c>
      <c r="D13" s="37">
        <f t="shared" ref="D13:K13" si="0">SUM(D14:D17)</f>
        <v>77144434.390000015</v>
      </c>
      <c r="E13" s="38">
        <f t="shared" si="0"/>
        <v>5208939.1399999997</v>
      </c>
      <c r="F13" s="37">
        <f t="shared" si="0"/>
        <v>8137212.0599999996</v>
      </c>
      <c r="G13" s="38">
        <f t="shared" si="0"/>
        <v>637561.90999999992</v>
      </c>
      <c r="H13" s="37">
        <f t="shared" si="0"/>
        <v>0</v>
      </c>
      <c r="I13" s="37">
        <f t="shared" si="0"/>
        <v>2337722.75</v>
      </c>
      <c r="J13" s="37">
        <f t="shared" si="0"/>
        <v>0</v>
      </c>
      <c r="K13" s="37">
        <f t="shared" si="0"/>
        <v>0</v>
      </c>
      <c r="L13" s="37">
        <f>SUM(L14:L17)</f>
        <v>93465870.250000015</v>
      </c>
      <c r="N13" s="571">
        <f>+C13</f>
        <v>0</v>
      </c>
      <c r="O13" s="571">
        <f>SUM(D13:K13)</f>
        <v>93465870.250000015</v>
      </c>
      <c r="P13" s="571">
        <f>+N13+O13</f>
        <v>93465870.250000015</v>
      </c>
    </row>
    <row r="14" spans="1:16">
      <c r="A14" s="20"/>
      <c r="B14" s="21" t="s">
        <v>78</v>
      </c>
      <c r="C14" s="23"/>
      <c r="D14" s="23">
        <f>+INGRESOS!C11</f>
        <v>3544260.68</v>
      </c>
      <c r="F14" s="23">
        <f>+INGRESOS!C20</f>
        <v>440688.3</v>
      </c>
      <c r="H14" s="23"/>
      <c r="I14" s="23">
        <f>+INGRESOS!C28</f>
        <v>813155.69</v>
      </c>
      <c r="J14" s="23"/>
      <c r="K14" s="23"/>
      <c r="L14" s="23">
        <f>SUM(C14:K14)</f>
        <v>4798104.67</v>
      </c>
      <c r="N14" s="572">
        <f>+C14</f>
        <v>0</v>
      </c>
      <c r="O14" s="572">
        <f>SUM(D14:K14)</f>
        <v>4798104.67</v>
      </c>
      <c r="P14" s="572">
        <f t="shared" ref="P14:P45" si="1">+N14+O14</f>
        <v>4798104.67</v>
      </c>
    </row>
    <row r="15" spans="1:16">
      <c r="A15" s="20"/>
      <c r="B15" s="21" t="s">
        <v>22</v>
      </c>
      <c r="C15" s="23"/>
      <c r="D15" s="23">
        <f>+INGRESOS!C10</f>
        <v>66967123.079999998</v>
      </c>
      <c r="E15" s="5">
        <f>+INGRESOS!C15</f>
        <v>3583567.76</v>
      </c>
      <c r="F15" s="23">
        <f>+INGRESOS!C19</f>
        <v>6891533.5099999998</v>
      </c>
      <c r="G15" s="5">
        <f>+INGRESOS!C24</f>
        <v>365560.68</v>
      </c>
      <c r="H15" s="23"/>
      <c r="I15" s="23"/>
      <c r="J15" s="23"/>
      <c r="K15" s="23"/>
      <c r="L15" s="23">
        <f t="shared" ref="L15:L17" si="2">SUM(C15:K15)</f>
        <v>77807785.030000016</v>
      </c>
      <c r="N15" s="572">
        <f>+C15</f>
        <v>0</v>
      </c>
      <c r="O15" s="572">
        <f t="shared" ref="O15:O17" si="3">SUM(D15:K15)</f>
        <v>77807785.030000016</v>
      </c>
      <c r="P15" s="572">
        <f t="shared" si="1"/>
        <v>77807785.030000016</v>
      </c>
    </row>
    <row r="16" spans="1:16">
      <c r="A16" s="20"/>
      <c r="B16" s="21" t="s">
        <v>29</v>
      </c>
      <c r="C16" s="23"/>
      <c r="D16" s="23">
        <f>+INGRESOS!C12</f>
        <v>6610920.3399999999</v>
      </c>
      <c r="E16" s="5">
        <f>+INGRESOS!C16</f>
        <v>1569954.13</v>
      </c>
      <c r="F16" s="23">
        <f>+INGRESOS!C21</f>
        <v>747163.69</v>
      </c>
      <c r="G16" s="5">
        <f>+INGRESOS!C25</f>
        <v>271463.51</v>
      </c>
      <c r="H16" s="23"/>
      <c r="I16" s="23">
        <f>+INGRESOS!C29</f>
        <v>1499214.87</v>
      </c>
      <c r="J16" s="23"/>
      <c r="K16" s="23"/>
      <c r="L16" s="23">
        <f t="shared" si="2"/>
        <v>10698716.539999999</v>
      </c>
      <c r="N16" s="572">
        <f>+C16</f>
        <v>0</v>
      </c>
      <c r="O16" s="572">
        <f t="shared" si="3"/>
        <v>10698716.539999999</v>
      </c>
      <c r="P16" s="572">
        <f t="shared" si="1"/>
        <v>10698716.539999999</v>
      </c>
    </row>
    <row r="17" spans="1:16">
      <c r="A17" s="20"/>
      <c r="B17" s="21" t="s">
        <v>77</v>
      </c>
      <c r="C17" s="23"/>
      <c r="D17" s="23">
        <f>+INGRESOS!C13</f>
        <v>22130.29</v>
      </c>
      <c r="E17" s="5">
        <f>+INGRESOS!C17</f>
        <v>55417.25</v>
      </c>
      <c r="F17" s="23">
        <f>+INGRESOS!C22</f>
        <v>57826.559999999998</v>
      </c>
      <c r="G17" s="5">
        <f>+INGRESOS!C26</f>
        <v>537.72</v>
      </c>
      <c r="H17" s="23"/>
      <c r="I17" s="23">
        <f>+INGRESOS!C30</f>
        <v>25352.19</v>
      </c>
      <c r="J17" s="23"/>
      <c r="K17" s="23">
        <f>+INGRESOS!C32</f>
        <v>0</v>
      </c>
      <c r="L17" s="23">
        <f t="shared" si="2"/>
        <v>161264.01</v>
      </c>
      <c r="N17" s="572">
        <f>+C17</f>
        <v>0</v>
      </c>
      <c r="O17" s="572">
        <f t="shared" si="3"/>
        <v>161264.01</v>
      </c>
      <c r="P17" s="572">
        <f t="shared" si="1"/>
        <v>161264.01</v>
      </c>
    </row>
    <row r="18" spans="1:16">
      <c r="A18" s="20"/>
      <c r="B18" s="21"/>
      <c r="C18" s="23"/>
      <c r="D18" s="23"/>
      <c r="F18" s="23"/>
      <c r="H18" s="23"/>
      <c r="I18" s="23"/>
      <c r="J18" s="23"/>
      <c r="K18" s="23"/>
      <c r="L18" s="23"/>
      <c r="N18" s="571"/>
      <c r="O18" s="571"/>
      <c r="P18" s="571"/>
    </row>
    <row r="19" spans="1:16" s="3" customFormat="1">
      <c r="A19" s="18" t="s">
        <v>10</v>
      </c>
      <c r="B19" s="19"/>
      <c r="C19" s="37">
        <f>+INGRESOS!$C$41</f>
        <v>0</v>
      </c>
      <c r="D19" s="37"/>
      <c r="E19" s="38"/>
      <c r="F19" s="37"/>
      <c r="G19" s="38"/>
      <c r="H19" s="37"/>
      <c r="I19" s="37"/>
      <c r="J19" s="37"/>
      <c r="K19" s="37"/>
      <c r="L19" s="37">
        <f>SUM(C19:I19)</f>
        <v>0</v>
      </c>
      <c r="N19" s="571">
        <f>+C19</f>
        <v>0</v>
      </c>
      <c r="O19" s="571">
        <f>SUM(D19:I19)</f>
        <v>0</v>
      </c>
      <c r="P19" s="571">
        <f t="shared" si="1"/>
        <v>0</v>
      </c>
    </row>
    <row r="20" spans="1:16" s="3" customFormat="1">
      <c r="A20" s="18"/>
      <c r="B20" s="19"/>
      <c r="C20" s="37"/>
      <c r="D20" s="37"/>
      <c r="E20" s="38"/>
      <c r="F20" s="37"/>
      <c r="G20" s="38"/>
      <c r="H20" s="37"/>
      <c r="I20" s="37"/>
      <c r="J20" s="37"/>
      <c r="K20" s="37"/>
      <c r="L20" s="37"/>
      <c r="N20" s="571"/>
      <c r="O20" s="571"/>
      <c r="P20" s="571"/>
    </row>
    <row r="21" spans="1:16" s="3" customFormat="1">
      <c r="A21" s="18" t="s">
        <v>1859</v>
      </c>
      <c r="B21" s="19"/>
      <c r="C21" s="37">
        <f>+INGRESOS!C47</f>
        <v>4568337.2</v>
      </c>
      <c r="D21" s="37"/>
      <c r="E21" s="38"/>
      <c r="F21" s="37"/>
      <c r="G21" s="38"/>
      <c r="H21" s="37"/>
      <c r="I21" s="37"/>
      <c r="J21" s="37"/>
      <c r="K21" s="37"/>
      <c r="L21" s="37">
        <f>SUM(C21:I21)</f>
        <v>4568337.2</v>
      </c>
      <c r="N21" s="571">
        <f>+C21</f>
        <v>4568337.2</v>
      </c>
      <c r="O21" s="571">
        <f>SUM(D21:K21)</f>
        <v>0</v>
      </c>
      <c r="P21" s="571">
        <f t="shared" si="1"/>
        <v>4568337.2</v>
      </c>
    </row>
    <row r="22" spans="1:16">
      <c r="A22" s="20"/>
      <c r="B22" s="21"/>
      <c r="C22" s="23"/>
      <c r="D22" s="23"/>
      <c r="F22" s="23"/>
      <c r="H22" s="23"/>
      <c r="I22" s="23"/>
      <c r="J22" s="23"/>
      <c r="K22" s="23"/>
      <c r="L22" s="23"/>
      <c r="N22" s="571"/>
      <c r="O22" s="571"/>
      <c r="P22" s="571"/>
    </row>
    <row r="23" spans="1:16">
      <c r="A23" s="18" t="s">
        <v>164</v>
      </c>
      <c r="B23" s="21"/>
      <c r="C23" s="37">
        <f>+INGRESOS!$C$57</f>
        <v>8252276.3100000005</v>
      </c>
      <c r="D23" s="23"/>
      <c r="F23" s="23"/>
      <c r="H23" s="23"/>
      <c r="I23" s="23"/>
      <c r="J23" s="23"/>
      <c r="K23" s="23"/>
      <c r="L23" s="37">
        <f>SUM(C23:I23)</f>
        <v>8252276.3100000005</v>
      </c>
      <c r="N23" s="571">
        <f>+C23</f>
        <v>8252276.3100000005</v>
      </c>
      <c r="O23" s="571">
        <f>SUM(D23:K23)</f>
        <v>0</v>
      </c>
      <c r="P23" s="571">
        <f t="shared" si="1"/>
        <v>8252276.3100000005</v>
      </c>
    </row>
    <row r="24" spans="1:16">
      <c r="A24" s="20"/>
      <c r="B24" s="21"/>
      <c r="C24" s="23"/>
      <c r="D24" s="23"/>
      <c r="F24" s="23"/>
      <c r="H24" s="23"/>
      <c r="I24" s="23"/>
      <c r="J24" s="23"/>
      <c r="K24" s="23"/>
      <c r="L24" s="23"/>
      <c r="N24" s="571"/>
      <c r="O24" s="571"/>
      <c r="P24" s="571"/>
    </row>
    <row r="25" spans="1:16">
      <c r="A25" s="18" t="s">
        <v>1039</v>
      </c>
      <c r="B25" s="21"/>
      <c r="C25" s="23">
        <f>+INGRESOS!C63</f>
        <v>0</v>
      </c>
      <c r="D25" s="23"/>
      <c r="F25" s="23"/>
      <c r="H25" s="23"/>
      <c r="I25" s="23"/>
      <c r="J25" s="23"/>
      <c r="K25" s="23"/>
      <c r="L25" s="37">
        <f>SUM(C25:I25)</f>
        <v>0</v>
      </c>
      <c r="N25" s="571">
        <f>+C25</f>
        <v>0</v>
      </c>
      <c r="O25" s="571">
        <f>SUM(D25:K25)</f>
        <v>0</v>
      </c>
      <c r="P25" s="571">
        <f t="shared" si="1"/>
        <v>0</v>
      </c>
    </row>
    <row r="26" spans="1:16">
      <c r="A26" s="20"/>
      <c r="B26" s="21"/>
      <c r="C26" s="23"/>
      <c r="D26" s="23"/>
      <c r="F26" s="23"/>
      <c r="H26" s="23"/>
      <c r="I26" s="23"/>
      <c r="J26" s="23"/>
      <c r="K26" s="23"/>
      <c r="L26" s="23"/>
      <c r="N26" s="571"/>
      <c r="O26" s="571"/>
      <c r="P26" s="571"/>
    </row>
    <row r="27" spans="1:16" s="3" customFormat="1">
      <c r="A27" s="18" t="s">
        <v>93</v>
      </c>
      <c r="B27" s="19"/>
      <c r="C27" s="37">
        <f>+C23+C19+C13+C25+C21</f>
        <v>12820613.510000002</v>
      </c>
      <c r="D27" s="37">
        <f t="shared" ref="D27:L27" si="4">+D23+D19+D13+D25+D21</f>
        <v>77144434.390000015</v>
      </c>
      <c r="E27" s="37">
        <f t="shared" si="4"/>
        <v>5208939.1399999997</v>
      </c>
      <c r="F27" s="37">
        <f t="shared" si="4"/>
        <v>8137212.0599999996</v>
      </c>
      <c r="G27" s="37">
        <f t="shared" si="4"/>
        <v>637561.90999999992</v>
      </c>
      <c r="H27" s="37">
        <f t="shared" si="4"/>
        <v>0</v>
      </c>
      <c r="I27" s="37">
        <f t="shared" si="4"/>
        <v>2337722.75</v>
      </c>
      <c r="J27" s="37">
        <f t="shared" si="4"/>
        <v>0</v>
      </c>
      <c r="K27" s="37">
        <f t="shared" si="4"/>
        <v>0</v>
      </c>
      <c r="L27" s="37">
        <f t="shared" si="4"/>
        <v>106286483.76000002</v>
      </c>
      <c r="N27" s="571">
        <f>+C27</f>
        <v>12820613.510000002</v>
      </c>
      <c r="O27" s="571">
        <f>SUM(D27:K27)</f>
        <v>93465870.250000015</v>
      </c>
      <c r="P27" s="571">
        <f t="shared" si="1"/>
        <v>106286483.76000002</v>
      </c>
    </row>
    <row r="28" spans="1:16">
      <c r="A28" s="20"/>
      <c r="B28" s="21"/>
      <c r="C28" s="23"/>
      <c r="D28" s="23"/>
      <c r="F28" s="23"/>
      <c r="H28" s="23"/>
      <c r="I28" s="23"/>
      <c r="J28" s="23"/>
      <c r="K28" s="23"/>
      <c r="L28" s="23"/>
      <c r="N28" s="571"/>
      <c r="O28" s="571"/>
      <c r="P28" s="571"/>
    </row>
    <row r="29" spans="1:16" s="3" customFormat="1">
      <c r="A29" s="18" t="s">
        <v>1782</v>
      </c>
      <c r="B29" s="19"/>
      <c r="C29" s="37">
        <f>SUM(C30:C33)</f>
        <v>24272698.580000002</v>
      </c>
      <c r="D29" s="37"/>
      <c r="E29" s="38"/>
      <c r="F29" s="37"/>
      <c r="G29" s="38"/>
      <c r="H29" s="37"/>
      <c r="I29" s="37"/>
      <c r="J29" s="37"/>
      <c r="K29" s="37"/>
      <c r="L29" s="37">
        <f>SUM(C29:I29)</f>
        <v>24272698.580000002</v>
      </c>
      <c r="N29" s="571">
        <f>+C29</f>
        <v>24272698.580000002</v>
      </c>
      <c r="O29" s="571">
        <f>SUM(D29:K29)</f>
        <v>0</v>
      </c>
      <c r="P29" s="571">
        <f>+N29+O29</f>
        <v>24272698.580000002</v>
      </c>
    </row>
    <row r="30" spans="1:16">
      <c r="A30" s="20"/>
      <c r="B30" s="21" t="s">
        <v>169</v>
      </c>
      <c r="C30" s="23">
        <f>+EGRESOS!C8</f>
        <v>15074778.560000001</v>
      </c>
      <c r="D30" s="23"/>
      <c r="F30" s="23"/>
      <c r="H30" s="23"/>
      <c r="I30" s="23"/>
      <c r="J30" s="23"/>
      <c r="K30" s="23"/>
      <c r="L30" s="23">
        <f>SUM(C30:J30)</f>
        <v>15074778.560000001</v>
      </c>
      <c r="N30" s="572">
        <f>+C30</f>
        <v>15074778.560000001</v>
      </c>
      <c r="O30" s="571">
        <f t="shared" ref="O30:O33" si="5">SUM(D30:K30)</f>
        <v>0</v>
      </c>
      <c r="P30" s="572">
        <f t="shared" si="1"/>
        <v>15074778.560000001</v>
      </c>
    </row>
    <row r="31" spans="1:16">
      <c r="A31" s="20"/>
      <c r="B31" s="21" t="s">
        <v>167</v>
      </c>
      <c r="C31" s="23">
        <f>+EGRESOS!C9</f>
        <v>347734.57</v>
      </c>
      <c r="D31" s="23"/>
      <c r="F31" s="23"/>
      <c r="H31" s="23"/>
      <c r="I31" s="23"/>
      <c r="J31" s="23"/>
      <c r="K31" s="23"/>
      <c r="L31" s="23">
        <f t="shared" ref="L31:L33" si="6">SUM(C31:J31)</f>
        <v>347734.57</v>
      </c>
      <c r="N31" s="572">
        <f>+C31</f>
        <v>347734.57</v>
      </c>
      <c r="O31" s="571">
        <f t="shared" si="5"/>
        <v>0</v>
      </c>
      <c r="P31" s="572">
        <f t="shared" si="1"/>
        <v>347734.57</v>
      </c>
    </row>
    <row r="32" spans="1:16">
      <c r="A32" s="20"/>
      <c r="B32" s="21" t="s">
        <v>168</v>
      </c>
      <c r="C32" s="23">
        <f>+EGRESOS!C10</f>
        <v>8055970.5700000003</v>
      </c>
      <c r="D32" s="23"/>
      <c r="F32" s="23"/>
      <c r="H32" s="23"/>
      <c r="I32" s="23"/>
      <c r="J32" s="23"/>
      <c r="K32" s="23"/>
      <c r="L32" s="23">
        <f t="shared" si="6"/>
        <v>8055970.5700000003</v>
      </c>
      <c r="N32" s="572">
        <f>+C32</f>
        <v>8055970.5700000003</v>
      </c>
      <c r="O32" s="571">
        <f t="shared" si="5"/>
        <v>0</v>
      </c>
      <c r="P32" s="572">
        <f t="shared" si="1"/>
        <v>8055970.5700000003</v>
      </c>
    </row>
    <row r="33" spans="1:16">
      <c r="A33" s="20"/>
      <c r="B33" s="21" t="s">
        <v>1913</v>
      </c>
      <c r="C33" s="23">
        <f>+EGRESOS!C11</f>
        <v>794214.88</v>
      </c>
      <c r="D33" s="23"/>
      <c r="F33" s="23"/>
      <c r="H33" s="23"/>
      <c r="I33" s="23"/>
      <c r="J33" s="23"/>
      <c r="K33" s="23"/>
      <c r="L33" s="23">
        <f t="shared" si="6"/>
        <v>794214.88</v>
      </c>
      <c r="N33" s="572">
        <f>+C33</f>
        <v>794214.88</v>
      </c>
      <c r="O33" s="571">
        <f t="shared" si="5"/>
        <v>0</v>
      </c>
      <c r="P33" s="572">
        <f t="shared" si="1"/>
        <v>794214.88</v>
      </c>
    </row>
    <row r="34" spans="1:16">
      <c r="A34" s="20"/>
      <c r="B34" s="21"/>
      <c r="C34" s="23"/>
      <c r="D34" s="23"/>
      <c r="F34" s="23"/>
      <c r="H34" s="23"/>
      <c r="I34" s="23"/>
      <c r="J34" s="23"/>
      <c r="K34" s="23"/>
      <c r="L34" s="23"/>
      <c r="N34" s="571"/>
      <c r="O34" s="571"/>
      <c r="P34" s="571"/>
    </row>
    <row r="35" spans="1:16" s="3" customFormat="1">
      <c r="A35" s="18" t="s">
        <v>183</v>
      </c>
      <c r="B35" s="19"/>
      <c r="C35" s="37">
        <f t="shared" ref="C35:L35" si="7">SUM(C36:C37)</f>
        <v>0</v>
      </c>
      <c r="D35" s="37">
        <f t="shared" si="7"/>
        <v>15402434.23</v>
      </c>
      <c r="E35" s="38">
        <f t="shared" si="7"/>
        <v>3555001.16</v>
      </c>
      <c r="F35" s="37">
        <f t="shared" si="7"/>
        <v>5895550.2000000002</v>
      </c>
      <c r="G35" s="38">
        <f t="shared" si="7"/>
        <v>1064231.24</v>
      </c>
      <c r="H35" s="37">
        <f t="shared" si="7"/>
        <v>14400</v>
      </c>
      <c r="I35" s="37">
        <f t="shared" si="7"/>
        <v>1637870.65</v>
      </c>
      <c r="J35" s="37">
        <f t="shared" si="7"/>
        <v>341788.39</v>
      </c>
      <c r="K35" s="37">
        <f t="shared" si="7"/>
        <v>0</v>
      </c>
      <c r="L35" s="37">
        <f t="shared" si="7"/>
        <v>27911275.869999997</v>
      </c>
      <c r="N35" s="571">
        <f>+C35</f>
        <v>0</v>
      </c>
      <c r="O35" s="571">
        <f>SUM(D35:K35)</f>
        <v>27911275.869999997</v>
      </c>
      <c r="P35" s="571">
        <f t="shared" si="1"/>
        <v>27911275.869999997</v>
      </c>
    </row>
    <row r="36" spans="1:16">
      <c r="A36" s="20"/>
      <c r="B36" s="21" t="s">
        <v>167</v>
      </c>
      <c r="C36" s="23"/>
      <c r="D36" s="23">
        <f>+EGRESOS!C17</f>
        <v>382059.14</v>
      </c>
      <c r="E36" s="5">
        <f>+EGRESOS!C21</f>
        <v>66600</v>
      </c>
      <c r="F36" s="23">
        <f>+EGRESOS!C25</f>
        <v>19800</v>
      </c>
      <c r="H36" s="23">
        <f>+EGRESOS!C32</f>
        <v>14400</v>
      </c>
      <c r="I36" s="23">
        <f>+EGRESOS!C36</f>
        <v>32200</v>
      </c>
      <c r="J36" s="23"/>
      <c r="K36" s="23"/>
      <c r="L36" s="23">
        <f>SUM(C36:J36)</f>
        <v>515059.14</v>
      </c>
      <c r="N36" s="572">
        <f>+C36</f>
        <v>0</v>
      </c>
      <c r="O36" s="572">
        <f>SUM(D36:K36)</f>
        <v>515059.14</v>
      </c>
      <c r="P36" s="572">
        <f t="shared" si="1"/>
        <v>515059.14</v>
      </c>
    </row>
    <row r="37" spans="1:16">
      <c r="A37" s="20"/>
      <c r="B37" s="21" t="s">
        <v>168</v>
      </c>
      <c r="C37" s="23"/>
      <c r="D37" s="23">
        <f>+EGRESOS!C18</f>
        <v>15020375.09</v>
      </c>
      <c r="E37" s="5">
        <f>+EGRESOS!C22</f>
        <v>3488401.16</v>
      </c>
      <c r="F37" s="23">
        <f>+EGRESOS!C26</f>
        <v>5875750.2000000002</v>
      </c>
      <c r="G37" s="5">
        <f>+EGRESOS!C33</f>
        <v>1064231.24</v>
      </c>
      <c r="H37" s="23">
        <f>+EGRESOS!C29</f>
        <v>0</v>
      </c>
      <c r="I37" s="23">
        <f>+EGRESOS!C37</f>
        <v>1605670.65</v>
      </c>
      <c r="J37" s="23">
        <f>+EGRESOS!C40</f>
        <v>341788.39</v>
      </c>
      <c r="K37" s="23"/>
      <c r="L37" s="23">
        <f>SUM(C37:J37)</f>
        <v>27396216.729999997</v>
      </c>
      <c r="N37" s="572">
        <f>+C37</f>
        <v>0</v>
      </c>
      <c r="O37" s="572">
        <f>SUM(D37:K37)</f>
        <v>27396216.729999997</v>
      </c>
      <c r="P37" s="572">
        <f t="shared" si="1"/>
        <v>27396216.729999997</v>
      </c>
    </row>
    <row r="38" spans="1:16">
      <c r="A38" s="20"/>
      <c r="B38" s="21"/>
      <c r="C38" s="23"/>
      <c r="D38" s="23"/>
      <c r="F38" s="23"/>
      <c r="H38" s="23"/>
      <c r="I38" s="23"/>
      <c r="J38" s="23"/>
      <c r="K38" s="23"/>
      <c r="L38" s="23"/>
      <c r="N38" s="571"/>
      <c r="O38" s="571"/>
      <c r="P38" s="571"/>
    </row>
    <row r="39" spans="1:16" s="3" customFormat="1">
      <c r="A39" s="18" t="s">
        <v>50</v>
      </c>
      <c r="B39" s="19"/>
      <c r="C39" s="37">
        <f>+'PPTO RESULTADOS'!C23</f>
        <v>0</v>
      </c>
      <c r="D39" s="37"/>
      <c r="E39" s="38"/>
      <c r="F39" s="37"/>
      <c r="G39" s="38"/>
      <c r="H39" s="37"/>
      <c r="I39" s="37"/>
      <c r="J39" s="37"/>
      <c r="K39" s="37"/>
      <c r="L39" s="37">
        <f>SUM(C39:I39)</f>
        <v>0</v>
      </c>
      <c r="N39" s="571">
        <f>+C39</f>
        <v>0</v>
      </c>
      <c r="O39" s="571">
        <f>SUM(D39:K39)</f>
        <v>0</v>
      </c>
      <c r="P39" s="571">
        <f t="shared" si="1"/>
        <v>0</v>
      </c>
    </row>
    <row r="40" spans="1:16" s="3" customFormat="1">
      <c r="A40" s="18"/>
      <c r="B40" s="19"/>
      <c r="C40" s="37"/>
      <c r="D40" s="37"/>
      <c r="E40" s="38"/>
      <c r="F40" s="37"/>
      <c r="G40" s="38"/>
      <c r="H40" s="37"/>
      <c r="I40" s="37"/>
      <c r="J40" s="37"/>
      <c r="K40" s="37"/>
      <c r="L40" s="37"/>
      <c r="N40" s="571"/>
      <c r="O40" s="571"/>
      <c r="P40" s="571"/>
    </row>
    <row r="41" spans="1:16" s="3" customFormat="1">
      <c r="A41" s="18" t="s">
        <v>185</v>
      </c>
      <c r="B41" s="19"/>
      <c r="C41" s="37">
        <f>+EGRESOS!C63-EGRESOS!C60</f>
        <v>253931.00999999978</v>
      </c>
      <c r="D41" s="37"/>
      <c r="E41" s="38"/>
      <c r="F41" s="37"/>
      <c r="G41" s="38"/>
      <c r="H41" s="37"/>
      <c r="I41" s="37"/>
      <c r="J41" s="37"/>
      <c r="K41" s="37"/>
      <c r="L41" s="37">
        <f>SUM(C41:I41)</f>
        <v>253931.00999999978</v>
      </c>
      <c r="N41" s="571">
        <f>+C41</f>
        <v>253931.00999999978</v>
      </c>
      <c r="O41" s="571">
        <f>SUM(D41:K41)</f>
        <v>0</v>
      </c>
      <c r="P41" s="571">
        <f t="shared" si="1"/>
        <v>253931.00999999978</v>
      </c>
    </row>
    <row r="42" spans="1:16" s="3" customFormat="1">
      <c r="A42" s="18"/>
      <c r="B42" s="19"/>
      <c r="C42" s="37"/>
      <c r="D42" s="37"/>
      <c r="E42" s="38"/>
      <c r="F42" s="37"/>
      <c r="G42" s="38"/>
      <c r="H42" s="37"/>
      <c r="I42" s="37"/>
      <c r="J42" s="37"/>
      <c r="K42" s="37"/>
      <c r="L42" s="37"/>
      <c r="N42" s="571"/>
      <c r="O42" s="571"/>
      <c r="P42" s="571"/>
    </row>
    <row r="43" spans="1:16" s="3" customFormat="1">
      <c r="A43" s="18" t="s">
        <v>27</v>
      </c>
      <c r="B43" s="19"/>
      <c r="C43" s="37">
        <f>+EGRESOS!C60</f>
        <v>5237879.01</v>
      </c>
      <c r="D43" s="37"/>
      <c r="E43" s="38"/>
      <c r="F43" s="37"/>
      <c r="G43" s="38"/>
      <c r="H43" s="37"/>
      <c r="I43" s="37"/>
      <c r="J43" s="37"/>
      <c r="K43" s="37"/>
      <c r="L43" s="37">
        <f>SUM(C43:I43)</f>
        <v>5237879.01</v>
      </c>
      <c r="N43" s="571">
        <f>+C43</f>
        <v>5237879.01</v>
      </c>
      <c r="O43" s="571">
        <f>SUM(D43:K43)</f>
        <v>0</v>
      </c>
      <c r="P43" s="571">
        <f t="shared" si="1"/>
        <v>5237879.01</v>
      </c>
    </row>
    <row r="44" spans="1:16">
      <c r="A44" s="20"/>
      <c r="B44" s="21"/>
      <c r="C44" s="23"/>
      <c r="D44" s="23"/>
      <c r="F44" s="23"/>
      <c r="H44" s="23"/>
      <c r="I44" s="23"/>
      <c r="J44" s="23"/>
      <c r="K44" s="23"/>
      <c r="L44" s="23"/>
      <c r="N44" s="571"/>
      <c r="O44" s="571"/>
      <c r="P44" s="571"/>
    </row>
    <row r="45" spans="1:16" s="3" customFormat="1">
      <c r="A45" s="22" t="s">
        <v>184</v>
      </c>
      <c r="B45" s="19"/>
      <c r="C45" s="37">
        <f>+C43+C41+C39+C35+C29</f>
        <v>29764508.600000001</v>
      </c>
      <c r="D45" s="37">
        <f t="shared" ref="D45:L45" si="8">+D43+D41+D39+D35+D29</f>
        <v>15402434.23</v>
      </c>
      <c r="E45" s="37">
        <f t="shared" si="8"/>
        <v>3555001.16</v>
      </c>
      <c r="F45" s="37">
        <f t="shared" si="8"/>
        <v>5895550.2000000002</v>
      </c>
      <c r="G45" s="37">
        <f t="shared" si="8"/>
        <v>1064231.24</v>
      </c>
      <c r="H45" s="37">
        <f t="shared" si="8"/>
        <v>14400</v>
      </c>
      <c r="I45" s="37">
        <f t="shared" si="8"/>
        <v>1637870.65</v>
      </c>
      <c r="J45" s="37">
        <f t="shared" si="8"/>
        <v>341788.39</v>
      </c>
      <c r="K45" s="37">
        <f t="shared" si="8"/>
        <v>0</v>
      </c>
      <c r="L45" s="37">
        <f t="shared" si="8"/>
        <v>57675784.469999999</v>
      </c>
      <c r="N45" s="571">
        <f>+C45</f>
        <v>29764508.600000001</v>
      </c>
      <c r="O45" s="571">
        <f>SUM(D45:K45)</f>
        <v>27911275.869999997</v>
      </c>
      <c r="P45" s="571">
        <f t="shared" si="1"/>
        <v>57675784.469999999</v>
      </c>
    </row>
    <row r="46" spans="1:16" s="3" customFormat="1">
      <c r="A46" s="18"/>
      <c r="B46" s="19"/>
      <c r="C46" s="37"/>
      <c r="D46" s="37"/>
      <c r="E46" s="38"/>
      <c r="F46" s="37"/>
      <c r="G46" s="38"/>
      <c r="H46" s="37"/>
      <c r="I46" s="37"/>
      <c r="J46" s="37"/>
      <c r="K46" s="37"/>
      <c r="L46" s="37"/>
      <c r="N46" s="571"/>
      <c r="O46" s="571"/>
      <c r="P46" s="571"/>
    </row>
    <row r="47" spans="1:16">
      <c r="A47" s="20"/>
      <c r="B47" s="21"/>
      <c r="C47" s="23"/>
      <c r="D47" s="23"/>
      <c r="F47" s="23"/>
      <c r="H47" s="23"/>
      <c r="I47" s="23"/>
      <c r="J47" s="23"/>
      <c r="K47" s="23"/>
      <c r="L47" s="23"/>
      <c r="N47" s="571"/>
      <c r="O47" s="571"/>
      <c r="P47" s="571"/>
    </row>
    <row r="48" spans="1:16">
      <c r="A48" s="20"/>
      <c r="B48" s="21"/>
      <c r="C48" s="23"/>
      <c r="D48" s="23"/>
      <c r="F48" s="23"/>
      <c r="H48" s="23"/>
      <c r="I48" s="23"/>
      <c r="J48" s="23"/>
      <c r="K48" s="23"/>
      <c r="L48" s="23"/>
      <c r="N48" s="571"/>
      <c r="O48" s="571"/>
      <c r="P48" s="571"/>
    </row>
    <row r="49" spans="1:16" s="3" customFormat="1">
      <c r="A49" s="95" t="s">
        <v>1702</v>
      </c>
      <c r="B49" s="96"/>
      <c r="C49" s="97">
        <f>+C27-C45</f>
        <v>-16943895.09</v>
      </c>
      <c r="D49" s="97">
        <f t="shared" ref="D49:K49" si="9">+D27-D45</f>
        <v>61742000.160000011</v>
      </c>
      <c r="E49" s="97">
        <f t="shared" si="9"/>
        <v>1653937.9799999995</v>
      </c>
      <c r="F49" s="97">
        <f t="shared" si="9"/>
        <v>2241661.8599999994</v>
      </c>
      <c r="G49" s="97">
        <f t="shared" si="9"/>
        <v>-426669.33000000007</v>
      </c>
      <c r="H49" s="97">
        <f t="shared" si="9"/>
        <v>-14400</v>
      </c>
      <c r="I49" s="97">
        <f t="shared" si="9"/>
        <v>699852.10000000009</v>
      </c>
      <c r="J49" s="97">
        <f t="shared" si="9"/>
        <v>-341788.39</v>
      </c>
      <c r="K49" s="97">
        <f t="shared" si="9"/>
        <v>0</v>
      </c>
      <c r="L49" s="97">
        <f>+L27-L45</f>
        <v>48610699.290000021</v>
      </c>
      <c r="N49" s="573">
        <f>+C49</f>
        <v>-16943895.09</v>
      </c>
      <c r="O49" s="573">
        <f>SUM(D49:K49)</f>
        <v>65554594.38000001</v>
      </c>
      <c r="P49" s="573">
        <f>+N49+O49</f>
        <v>48610699.290000007</v>
      </c>
    </row>
  </sheetData>
  <mergeCells count="3">
    <mergeCell ref="A5:L5"/>
    <mergeCell ref="A6:L6"/>
    <mergeCell ref="A4:L4"/>
  </mergeCells>
  <phoneticPr fontId="0" type="noConversion"/>
  <printOptions horizontalCentered="1"/>
  <pageMargins left="0.43307086614173229" right="0.43307086614173229" top="0.35433070866141736" bottom="0.55118110236220474" header="0.23622047244094491" footer="0.31496062992125984"/>
  <pageSetup scale="76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C216"/>
  <sheetViews>
    <sheetView workbookViewId="0">
      <pane xSplit="3" ySplit="9" topLeftCell="P136" activePane="bottomRight" state="frozen"/>
      <selection pane="topRight" activeCell="D1" sqref="D1"/>
      <selection pane="bottomLeft" activeCell="A10" sqref="A10"/>
      <selection pane="bottomRight" activeCell="S59" sqref="S59"/>
    </sheetView>
  </sheetViews>
  <sheetFormatPr baseColWidth="10" defaultRowHeight="12.75"/>
  <cols>
    <col min="1" max="1" width="9.7109375" style="73" customWidth="1"/>
    <col min="2" max="2" width="9" style="73" customWidth="1"/>
    <col min="3" max="3" width="58" style="73" customWidth="1"/>
    <col min="4" max="9" width="13" style="73" hidden="1" customWidth="1"/>
    <col min="10" max="13" width="12.85546875" style="73" hidden="1" customWidth="1"/>
    <col min="14" max="14" width="14" style="73" hidden="1" customWidth="1"/>
    <col min="15" max="15" width="11.42578125" style="73" hidden="1" customWidth="1"/>
    <col min="16" max="16" width="15.7109375" style="73" customWidth="1"/>
    <col min="17" max="17" width="16" style="73" customWidth="1"/>
    <col min="18" max="18" width="13" style="73" customWidth="1"/>
    <col min="19" max="19" width="14.5703125" style="73" customWidth="1"/>
    <col min="20" max="20" width="3" style="73" customWidth="1"/>
    <col min="21" max="21" width="11.42578125" style="73" customWidth="1"/>
    <col min="22" max="22" width="13.7109375" style="73" customWidth="1"/>
    <col min="23" max="27" width="11.42578125" style="73" customWidth="1"/>
    <col min="28" max="28" width="13.85546875" style="73" customWidth="1"/>
    <col min="29" max="16384" width="11.42578125" style="73"/>
  </cols>
  <sheetData>
    <row r="1" spans="1:29">
      <c r="P1" s="13"/>
    </row>
    <row r="2" spans="1:29" ht="15.75">
      <c r="A2" s="1560" t="s">
        <v>2987</v>
      </c>
      <c r="B2" s="1560"/>
      <c r="C2" s="1560"/>
      <c r="D2" s="1560"/>
      <c r="E2" s="1560"/>
      <c r="F2" s="1560"/>
      <c r="G2" s="1560"/>
      <c r="H2" s="1560"/>
      <c r="I2" s="1560"/>
      <c r="J2" s="1560"/>
      <c r="K2" s="1560"/>
      <c r="L2" s="1560"/>
      <c r="M2" s="1560"/>
      <c r="N2" s="1560"/>
      <c r="O2" s="1560"/>
      <c r="P2" s="1560"/>
      <c r="Q2" s="1560"/>
      <c r="R2" s="1560"/>
      <c r="S2" s="1560"/>
    </row>
    <row r="3" spans="1:29" ht="15">
      <c r="A3" s="1559" t="s">
        <v>1302</v>
      </c>
      <c r="B3" s="1559"/>
      <c r="C3" s="1559"/>
      <c r="D3" s="1559"/>
      <c r="E3" s="1559"/>
      <c r="F3" s="1559"/>
      <c r="G3" s="1559"/>
      <c r="H3" s="1559"/>
      <c r="I3" s="1559"/>
      <c r="J3" s="1559"/>
      <c r="K3" s="1559"/>
      <c r="L3" s="1559"/>
      <c r="M3" s="1559"/>
      <c r="N3" s="1559"/>
      <c r="O3" s="1559"/>
      <c r="P3" s="1559"/>
      <c r="Q3" s="1559"/>
      <c r="R3" s="1559"/>
      <c r="S3" s="1559"/>
    </row>
    <row r="4" spans="1:29" ht="15">
      <c r="A4" s="1559" t="s">
        <v>7011</v>
      </c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</row>
    <row r="5" spans="1:29">
      <c r="P5" s="13"/>
    </row>
    <row r="6" spans="1:29">
      <c r="A6" s="607" t="s">
        <v>143</v>
      </c>
      <c r="B6" s="607" t="s">
        <v>106</v>
      </c>
      <c r="C6" s="608" t="s">
        <v>144</v>
      </c>
      <c r="D6" s="607" t="s">
        <v>51</v>
      </c>
      <c r="E6" s="607" t="s">
        <v>52</v>
      </c>
      <c r="F6" s="607" t="s">
        <v>53</v>
      </c>
      <c r="G6" s="607" t="s">
        <v>54</v>
      </c>
      <c r="H6" s="607" t="s">
        <v>55</v>
      </c>
      <c r="I6" s="607" t="s">
        <v>56</v>
      </c>
      <c r="J6" s="607" t="s">
        <v>57</v>
      </c>
      <c r="K6" s="607" t="s">
        <v>58</v>
      </c>
      <c r="L6" s="607" t="s">
        <v>59</v>
      </c>
      <c r="M6" s="607" t="s">
        <v>60</v>
      </c>
      <c r="N6" s="607" t="s">
        <v>61</v>
      </c>
      <c r="O6" s="607" t="s">
        <v>62</v>
      </c>
      <c r="P6" s="607" t="s">
        <v>5629</v>
      </c>
      <c r="Q6" s="607" t="s">
        <v>25</v>
      </c>
      <c r="R6" s="609" t="s">
        <v>236</v>
      </c>
      <c r="S6" s="607" t="s">
        <v>63</v>
      </c>
    </row>
    <row r="8" spans="1:29" ht="15">
      <c r="A8" s="1564" t="s">
        <v>233</v>
      </c>
      <c r="B8" s="1565"/>
      <c r="C8" s="1565"/>
      <c r="D8" s="1565"/>
      <c r="E8" s="1565"/>
      <c r="F8" s="1565"/>
      <c r="G8" s="1565"/>
      <c r="H8" s="1565"/>
      <c r="I8" s="1565"/>
      <c r="J8" s="1565"/>
      <c r="K8" s="1565"/>
      <c r="L8" s="1565"/>
      <c r="M8" s="1565"/>
      <c r="N8" s="1565"/>
      <c r="O8" s="1565"/>
      <c r="P8" s="1565"/>
      <c r="Q8" s="1565"/>
      <c r="R8" s="1565"/>
      <c r="S8" s="1565"/>
    </row>
    <row r="9" spans="1:29">
      <c r="A9" s="111" t="s">
        <v>145</v>
      </c>
      <c r="B9" s="116"/>
      <c r="C9" s="113"/>
      <c r="D9" s="117">
        <f t="shared" ref="D9:S9" si="0">SUM(D10:D18)</f>
        <v>1442314.1446666664</v>
      </c>
      <c r="E9" s="117">
        <f t="shared" si="0"/>
        <v>1442314.1446666664</v>
      </c>
      <c r="F9" s="117">
        <f t="shared" si="0"/>
        <v>1442314.1446666664</v>
      </c>
      <c r="G9" s="117">
        <f t="shared" si="0"/>
        <v>1442314.1446666664</v>
      </c>
      <c r="H9" s="117">
        <f t="shared" si="0"/>
        <v>1442314.1446666664</v>
      </c>
      <c r="I9" s="117">
        <f t="shared" si="0"/>
        <v>1531875.8196666664</v>
      </c>
      <c r="J9" s="117">
        <f t="shared" si="0"/>
        <v>1442314.1446666664</v>
      </c>
      <c r="K9" s="117">
        <f t="shared" si="0"/>
        <v>1442314.1446666664</v>
      </c>
      <c r="L9" s="117">
        <f t="shared" si="0"/>
        <v>1442314.1446666664</v>
      </c>
      <c r="M9" s="117">
        <f t="shared" si="0"/>
        <v>1442314.1446666664</v>
      </c>
      <c r="N9" s="117">
        <f t="shared" si="0"/>
        <v>1442314.1446666664</v>
      </c>
      <c r="O9" s="117">
        <f t="shared" si="0"/>
        <v>3344604.1216666661</v>
      </c>
      <c r="P9" s="117">
        <f t="shared" si="0"/>
        <v>19299621.387999997</v>
      </c>
      <c r="Q9" s="120">
        <f t="shared" si="0"/>
        <v>19299621.387999997</v>
      </c>
      <c r="R9" s="120">
        <f t="shared" si="0"/>
        <v>15074778.560000001</v>
      </c>
      <c r="S9" s="120">
        <f t="shared" si="0"/>
        <v>4224842.827999997</v>
      </c>
    </row>
    <row r="10" spans="1:29">
      <c r="A10" s="108">
        <v>5111</v>
      </c>
      <c r="B10" s="108">
        <v>11301</v>
      </c>
      <c r="C10" s="109" t="s">
        <v>107</v>
      </c>
      <c r="D10" s="93">
        <v>1074740.0999999999</v>
      </c>
      <c r="E10" s="93">
        <v>1074740.0999999999</v>
      </c>
      <c r="F10" s="93">
        <v>1074740.0999999999</v>
      </c>
      <c r="G10" s="93">
        <v>1074740.0999999999</v>
      </c>
      <c r="H10" s="93">
        <v>1074740.0999999999</v>
      </c>
      <c r="I10" s="93">
        <v>1074740.0999999999</v>
      </c>
      <c r="J10" s="93">
        <v>1074740.0999999999</v>
      </c>
      <c r="K10" s="93">
        <v>1074740.0999999999</v>
      </c>
      <c r="L10" s="93">
        <v>1074740.0999999999</v>
      </c>
      <c r="M10" s="93">
        <v>1074740.0999999999</v>
      </c>
      <c r="N10" s="93">
        <v>1074740.0999999999</v>
      </c>
      <c r="O10" s="93">
        <v>1074740.0999999999</v>
      </c>
      <c r="P10" s="93">
        <f>SUM(D10:O10)</f>
        <v>12896881.199999997</v>
      </c>
      <c r="Q10" s="93">
        <f>SUM(D10:O10)</f>
        <v>12896881.199999997</v>
      </c>
      <c r="R10" s="93">
        <v>10187364.18</v>
      </c>
      <c r="S10" s="559">
        <f>+Q10-R10</f>
        <v>2709517.0199999977</v>
      </c>
      <c r="U10" s="125"/>
      <c r="V10" s="125"/>
      <c r="W10" s="125"/>
      <c r="X10" s="125"/>
      <c r="Y10" s="125"/>
      <c r="Z10" s="125"/>
      <c r="AA10" s="125"/>
      <c r="AB10" s="550"/>
      <c r="AC10" s="127"/>
    </row>
    <row r="11" spans="1:29">
      <c r="A11" s="89">
        <v>5113</v>
      </c>
      <c r="B11" s="89">
        <v>13201</v>
      </c>
      <c r="C11" s="90" t="s">
        <v>108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>
        <v>1812728.3020000001</v>
      </c>
      <c r="P11" s="93">
        <f t="shared" ref="P11:P18" si="1">SUM(D11:O11)</f>
        <v>1812728.3020000001</v>
      </c>
      <c r="Q11" s="93">
        <f t="shared" ref="Q11:Q18" si="2">SUM(D11:O11)</f>
        <v>1812728.3020000001</v>
      </c>
      <c r="R11" s="93">
        <v>1434294.03</v>
      </c>
      <c r="S11" s="559">
        <f t="shared" ref="S11:S12" si="3">+Q11-R11</f>
        <v>378434.27200000011</v>
      </c>
      <c r="U11" s="125"/>
      <c r="V11" s="125"/>
      <c r="W11" s="125"/>
      <c r="X11" s="125"/>
      <c r="Y11" s="125"/>
      <c r="Z11" s="125"/>
      <c r="AA11" s="125"/>
      <c r="AB11" s="550"/>
      <c r="AC11" s="127"/>
    </row>
    <row r="12" spans="1:29">
      <c r="A12" s="89">
        <v>5113</v>
      </c>
      <c r="B12" s="89">
        <v>13202</v>
      </c>
      <c r="C12" s="90" t="s">
        <v>109</v>
      </c>
      <c r="D12" s="93"/>
      <c r="E12" s="93"/>
      <c r="F12" s="93"/>
      <c r="G12" s="93"/>
      <c r="H12" s="93"/>
      <c r="I12" s="93">
        <v>89561.674999999974</v>
      </c>
      <c r="J12" s="93"/>
      <c r="K12" s="93"/>
      <c r="L12" s="93"/>
      <c r="M12" s="93"/>
      <c r="N12" s="93"/>
      <c r="O12" s="93">
        <v>89561.674999999974</v>
      </c>
      <c r="P12" s="93">
        <f t="shared" si="1"/>
        <v>179123.34999999995</v>
      </c>
      <c r="Q12" s="93">
        <f t="shared" si="2"/>
        <v>179123.34999999995</v>
      </c>
      <c r="R12" s="93">
        <v>141154.01</v>
      </c>
      <c r="S12" s="559">
        <f t="shared" si="3"/>
        <v>37969.339999999938</v>
      </c>
      <c r="U12" s="125"/>
      <c r="V12" s="125"/>
      <c r="W12" s="125"/>
      <c r="X12" s="125"/>
      <c r="Y12" s="125"/>
      <c r="Z12" s="125"/>
      <c r="AA12" s="125"/>
      <c r="AB12" s="550"/>
      <c r="AC12" s="127"/>
    </row>
    <row r="13" spans="1:29">
      <c r="A13" s="89">
        <v>5113</v>
      </c>
      <c r="B13" s="89">
        <v>13301</v>
      </c>
      <c r="C13" s="90" t="s">
        <v>110</v>
      </c>
      <c r="D13" s="93">
        <v>9198.5249999999996</v>
      </c>
      <c r="E13" s="93">
        <v>9198.5249999999996</v>
      </c>
      <c r="F13" s="93">
        <v>9198.5249999999996</v>
      </c>
      <c r="G13" s="93">
        <v>9198.5249999999996</v>
      </c>
      <c r="H13" s="93">
        <v>9198.5249999999996</v>
      </c>
      <c r="I13" s="93">
        <v>9198.5249999999996</v>
      </c>
      <c r="J13" s="93">
        <v>9198.5249999999996</v>
      </c>
      <c r="K13" s="93">
        <v>9198.5249999999996</v>
      </c>
      <c r="L13" s="93">
        <v>9198.5249999999996</v>
      </c>
      <c r="M13" s="93">
        <v>9198.5249999999996</v>
      </c>
      <c r="N13" s="93">
        <v>9198.5249999999996</v>
      </c>
      <c r="O13" s="93">
        <v>9198.5249999999996</v>
      </c>
      <c r="P13" s="93">
        <f t="shared" si="1"/>
        <v>110382.29999999997</v>
      </c>
      <c r="Q13" s="93">
        <f t="shared" si="2"/>
        <v>110382.29999999997</v>
      </c>
      <c r="R13" s="93">
        <v>26073.47</v>
      </c>
      <c r="S13" s="559">
        <f t="shared" ref="S13" si="4">+Q13-R13</f>
        <v>84308.829999999973</v>
      </c>
      <c r="U13" s="125"/>
      <c r="V13" s="125"/>
      <c r="W13" s="125"/>
      <c r="X13" s="125"/>
      <c r="Y13" s="125"/>
      <c r="Z13" s="125"/>
      <c r="AA13" s="125"/>
      <c r="AB13" s="550"/>
      <c r="AC13" s="127"/>
    </row>
    <row r="14" spans="1:29">
      <c r="A14" s="89">
        <v>5114</v>
      </c>
      <c r="B14" s="89">
        <v>14102</v>
      </c>
      <c r="C14" s="90" t="s">
        <v>209</v>
      </c>
      <c r="D14" s="93">
        <v>25000</v>
      </c>
      <c r="E14" s="93">
        <v>25000</v>
      </c>
      <c r="F14" s="93">
        <v>25000</v>
      </c>
      <c r="G14" s="93">
        <v>25000</v>
      </c>
      <c r="H14" s="93">
        <v>25000</v>
      </c>
      <c r="I14" s="93">
        <v>25000</v>
      </c>
      <c r="J14" s="93">
        <v>25000</v>
      </c>
      <c r="K14" s="93">
        <v>25000</v>
      </c>
      <c r="L14" s="93">
        <v>25000</v>
      </c>
      <c r="M14" s="93">
        <v>25000</v>
      </c>
      <c r="N14" s="93">
        <v>25000</v>
      </c>
      <c r="O14" s="93">
        <v>25000</v>
      </c>
      <c r="P14" s="93">
        <f t="shared" si="1"/>
        <v>300000</v>
      </c>
      <c r="Q14" s="93">
        <f t="shared" si="2"/>
        <v>300000</v>
      </c>
      <c r="R14" s="93"/>
      <c r="S14" s="559">
        <f t="shared" ref="S14:S18" si="5">+Q14-R14</f>
        <v>300000</v>
      </c>
      <c r="U14" s="125"/>
      <c r="V14" s="125"/>
      <c r="W14" s="125"/>
      <c r="X14" s="125"/>
      <c r="Y14" s="125"/>
      <c r="Z14" s="125"/>
      <c r="AA14" s="125"/>
    </row>
    <row r="15" spans="1:29">
      <c r="A15" s="89">
        <v>5114</v>
      </c>
      <c r="B15" s="89">
        <v>14301</v>
      </c>
      <c r="C15" s="90" t="s">
        <v>1845</v>
      </c>
      <c r="D15" s="93">
        <v>182705.81700000001</v>
      </c>
      <c r="E15" s="93">
        <v>182705.81700000001</v>
      </c>
      <c r="F15" s="93">
        <v>182705.81700000001</v>
      </c>
      <c r="G15" s="93">
        <v>182705.81700000001</v>
      </c>
      <c r="H15" s="93">
        <v>182705.81700000001</v>
      </c>
      <c r="I15" s="93">
        <v>182705.81700000001</v>
      </c>
      <c r="J15" s="93">
        <v>182705.81700000001</v>
      </c>
      <c r="K15" s="93">
        <v>182705.81700000001</v>
      </c>
      <c r="L15" s="93">
        <v>182705.81700000001</v>
      </c>
      <c r="M15" s="93">
        <v>182705.81700000001</v>
      </c>
      <c r="N15" s="93">
        <v>182705.81700000001</v>
      </c>
      <c r="O15" s="93">
        <v>182705.81700000001</v>
      </c>
      <c r="P15" s="93">
        <f t="shared" si="1"/>
        <v>2192469.804</v>
      </c>
      <c r="Q15" s="93">
        <f t="shared" si="2"/>
        <v>2192469.804</v>
      </c>
      <c r="R15" s="93">
        <v>1725020.17</v>
      </c>
      <c r="S15" s="559">
        <f t="shared" si="5"/>
        <v>467449.63400000008</v>
      </c>
      <c r="U15" s="125"/>
      <c r="V15" s="125"/>
      <c r="W15" s="125"/>
      <c r="X15" s="125"/>
      <c r="Y15" s="125"/>
      <c r="Z15" s="125"/>
      <c r="AA15" s="125"/>
      <c r="AB15" s="550"/>
      <c r="AC15" s="127"/>
    </row>
    <row r="16" spans="1:29">
      <c r="A16" s="89">
        <v>5114</v>
      </c>
      <c r="B16" s="89">
        <v>14401</v>
      </c>
      <c r="C16" s="90" t="s">
        <v>111</v>
      </c>
      <c r="D16" s="93">
        <v>5083.333333333333</v>
      </c>
      <c r="E16" s="93">
        <v>5083.333333333333</v>
      </c>
      <c r="F16" s="93">
        <v>5083.333333333333</v>
      </c>
      <c r="G16" s="93">
        <v>5083.333333333333</v>
      </c>
      <c r="H16" s="93">
        <v>5083.333333333333</v>
      </c>
      <c r="I16" s="93">
        <v>5083.333333333333</v>
      </c>
      <c r="J16" s="93">
        <v>5083.333333333333</v>
      </c>
      <c r="K16" s="93">
        <v>5083.333333333333</v>
      </c>
      <c r="L16" s="93">
        <v>5083.333333333333</v>
      </c>
      <c r="M16" s="93">
        <v>5083.333333333333</v>
      </c>
      <c r="N16" s="93">
        <v>5083.333333333333</v>
      </c>
      <c r="O16" s="93">
        <v>5083.333333333333</v>
      </c>
      <c r="P16" s="93">
        <f t="shared" si="1"/>
        <v>61000.000000000007</v>
      </c>
      <c r="Q16" s="93">
        <f t="shared" si="2"/>
        <v>61000.000000000007</v>
      </c>
      <c r="R16" s="93">
        <v>55693.14</v>
      </c>
      <c r="S16" s="559">
        <f t="shared" si="5"/>
        <v>5306.8600000000079</v>
      </c>
    </row>
    <row r="17" spans="1:29">
      <c r="A17" s="106">
        <v>5115</v>
      </c>
      <c r="B17" s="106">
        <v>15101</v>
      </c>
      <c r="C17" s="107" t="s">
        <v>112</v>
      </c>
      <c r="D17" s="93">
        <v>80339.564333333328</v>
      </c>
      <c r="E17" s="93">
        <v>80339.564333333328</v>
      </c>
      <c r="F17" s="93">
        <v>80339.564333333328</v>
      </c>
      <c r="G17" s="93">
        <v>80339.564333333328</v>
      </c>
      <c r="H17" s="93">
        <v>80339.564333333328</v>
      </c>
      <c r="I17" s="93">
        <v>80339.564333333328</v>
      </c>
      <c r="J17" s="93">
        <v>80339.564333333328</v>
      </c>
      <c r="K17" s="93">
        <v>80339.564333333328</v>
      </c>
      <c r="L17" s="93">
        <v>80339.564333333328</v>
      </c>
      <c r="M17" s="93">
        <v>80339.564333333328</v>
      </c>
      <c r="N17" s="93">
        <v>80339.564333333328</v>
      </c>
      <c r="O17" s="93">
        <v>80339.564333333328</v>
      </c>
      <c r="P17" s="93">
        <f t="shared" si="1"/>
        <v>964074.77199999976</v>
      </c>
      <c r="Q17" s="93">
        <f t="shared" si="2"/>
        <v>964074.77199999976</v>
      </c>
      <c r="R17" s="93">
        <v>842994.24</v>
      </c>
      <c r="S17" s="559">
        <f t="shared" si="5"/>
        <v>121080.53199999977</v>
      </c>
    </row>
    <row r="18" spans="1:29">
      <c r="A18" s="106">
        <v>5115</v>
      </c>
      <c r="B18" s="106">
        <v>15407</v>
      </c>
      <c r="C18" s="107" t="s">
        <v>113</v>
      </c>
      <c r="D18" s="93">
        <v>65246.804999999993</v>
      </c>
      <c r="E18" s="93">
        <v>65246.804999999993</v>
      </c>
      <c r="F18" s="93">
        <v>65246.804999999993</v>
      </c>
      <c r="G18" s="93">
        <v>65246.804999999993</v>
      </c>
      <c r="H18" s="93">
        <v>65246.804999999993</v>
      </c>
      <c r="I18" s="93">
        <v>65246.804999999993</v>
      </c>
      <c r="J18" s="93">
        <v>65246.804999999993</v>
      </c>
      <c r="K18" s="93">
        <v>65246.804999999993</v>
      </c>
      <c r="L18" s="93">
        <v>65246.804999999993</v>
      </c>
      <c r="M18" s="93">
        <v>65246.804999999993</v>
      </c>
      <c r="N18" s="93">
        <v>65246.804999999993</v>
      </c>
      <c r="O18" s="93">
        <v>65246.804999999993</v>
      </c>
      <c r="P18" s="93">
        <f t="shared" si="1"/>
        <v>782961.65999999968</v>
      </c>
      <c r="Q18" s="93">
        <f t="shared" si="2"/>
        <v>782961.65999999968</v>
      </c>
      <c r="R18" s="93">
        <v>662185.31999999995</v>
      </c>
      <c r="S18" s="559">
        <f t="shared" si="5"/>
        <v>120776.33999999973</v>
      </c>
    </row>
    <row r="19" spans="1:29">
      <c r="A19" s="106"/>
      <c r="B19" s="106"/>
      <c r="C19" s="107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AC19" s="127"/>
    </row>
    <row r="20" spans="1:29">
      <c r="A20" s="111" t="s">
        <v>146</v>
      </c>
      <c r="B20" s="116"/>
      <c r="C20" s="113"/>
      <c r="D20" s="117">
        <f t="shared" ref="D20:P20" si="6">SUM(D21:D26)</f>
        <v>66675</v>
      </c>
      <c r="E20" s="117">
        <f t="shared" si="6"/>
        <v>66175</v>
      </c>
      <c r="F20" s="117">
        <f t="shared" si="6"/>
        <v>66175</v>
      </c>
      <c r="G20" s="117">
        <f t="shared" si="6"/>
        <v>66675</v>
      </c>
      <c r="H20" s="117">
        <f t="shared" si="6"/>
        <v>66175</v>
      </c>
      <c r="I20" s="117">
        <f t="shared" si="6"/>
        <v>66175</v>
      </c>
      <c r="J20" s="117">
        <f t="shared" si="6"/>
        <v>66675</v>
      </c>
      <c r="K20" s="117">
        <f t="shared" si="6"/>
        <v>66175</v>
      </c>
      <c r="L20" s="117">
        <f t="shared" si="6"/>
        <v>66175</v>
      </c>
      <c r="M20" s="117">
        <f t="shared" si="6"/>
        <v>66675</v>
      </c>
      <c r="N20" s="117">
        <f t="shared" si="6"/>
        <v>66175</v>
      </c>
      <c r="O20" s="117">
        <f t="shared" si="6"/>
        <v>66175</v>
      </c>
      <c r="P20" s="117">
        <f t="shared" si="6"/>
        <v>796100</v>
      </c>
      <c r="Q20" s="120">
        <f>SUM(Q21:Q26)</f>
        <v>796100</v>
      </c>
      <c r="R20" s="120">
        <f>SUM(R21:R26)</f>
        <v>347734.57</v>
      </c>
      <c r="S20" s="120">
        <f>SUM(S21:S26)</f>
        <v>448365.43</v>
      </c>
    </row>
    <row r="21" spans="1:29">
      <c r="A21" s="108">
        <v>5121</v>
      </c>
      <c r="B21" s="108">
        <v>21101</v>
      </c>
      <c r="C21" s="109" t="s">
        <v>114</v>
      </c>
      <c r="D21" s="93">
        <v>15341.666666666666</v>
      </c>
      <c r="E21" s="93">
        <v>15341.666666666666</v>
      </c>
      <c r="F21" s="93">
        <v>15341.666666666666</v>
      </c>
      <c r="G21" s="93">
        <v>15341.666666666666</v>
      </c>
      <c r="H21" s="93">
        <v>15341.666666666666</v>
      </c>
      <c r="I21" s="93">
        <v>15341.666666666666</v>
      </c>
      <c r="J21" s="93">
        <v>15341.666666666666</v>
      </c>
      <c r="K21" s="93">
        <v>15341.666666666666</v>
      </c>
      <c r="L21" s="93">
        <v>15341.666666666666</v>
      </c>
      <c r="M21" s="93">
        <v>15341.666666666666</v>
      </c>
      <c r="N21" s="93">
        <v>15341.666666666666</v>
      </c>
      <c r="O21" s="93">
        <v>15341.666666666666</v>
      </c>
      <c r="P21" s="93">
        <f t="shared" ref="P21:P26" si="7">SUM(D21:O21)</f>
        <v>184099.99999999997</v>
      </c>
      <c r="Q21" s="93">
        <f t="shared" ref="Q21:Q26" si="8">SUM(D21:O21)</f>
        <v>184099.99999999997</v>
      </c>
      <c r="R21" s="93">
        <v>75811.210000000006</v>
      </c>
      <c r="S21" s="559">
        <f t="shared" ref="S21:S26" si="9">+Q21-R21</f>
        <v>108288.78999999996</v>
      </c>
    </row>
    <row r="22" spans="1:29">
      <c r="A22" s="89">
        <v>5121</v>
      </c>
      <c r="B22" s="89">
        <v>21201</v>
      </c>
      <c r="C22" s="90" t="s">
        <v>115</v>
      </c>
      <c r="D22" s="93">
        <v>23333.333333333332</v>
      </c>
      <c r="E22" s="93">
        <v>23333.333333333332</v>
      </c>
      <c r="F22" s="93">
        <v>23333.333333333332</v>
      </c>
      <c r="G22" s="93">
        <v>23333.333333333332</v>
      </c>
      <c r="H22" s="93">
        <v>23333.333333333332</v>
      </c>
      <c r="I22" s="93">
        <v>23333.333333333332</v>
      </c>
      <c r="J22" s="93">
        <v>23333.333333333332</v>
      </c>
      <c r="K22" s="93">
        <v>23333.333333333332</v>
      </c>
      <c r="L22" s="93">
        <v>23333.333333333332</v>
      </c>
      <c r="M22" s="93">
        <v>23333.333333333332</v>
      </c>
      <c r="N22" s="93">
        <v>23333.333333333332</v>
      </c>
      <c r="O22" s="93">
        <v>23333.333333333332</v>
      </c>
      <c r="P22" s="93">
        <f t="shared" si="7"/>
        <v>280000.00000000006</v>
      </c>
      <c r="Q22" s="93">
        <f t="shared" si="8"/>
        <v>280000.00000000006</v>
      </c>
      <c r="R22" s="93">
        <v>98112.33</v>
      </c>
      <c r="S22" s="559">
        <f t="shared" si="9"/>
        <v>181887.67000000004</v>
      </c>
    </row>
    <row r="23" spans="1:29">
      <c r="A23" s="89">
        <v>5121</v>
      </c>
      <c r="B23" s="89">
        <v>21601</v>
      </c>
      <c r="C23" s="90" t="s">
        <v>116</v>
      </c>
      <c r="D23" s="93">
        <v>6666.666666666667</v>
      </c>
      <c r="E23" s="93">
        <v>6666.666666666667</v>
      </c>
      <c r="F23" s="93">
        <v>6666.666666666667</v>
      </c>
      <c r="G23" s="93">
        <v>6666.666666666667</v>
      </c>
      <c r="H23" s="93">
        <v>6666.666666666667</v>
      </c>
      <c r="I23" s="93">
        <v>6666.666666666667</v>
      </c>
      <c r="J23" s="93">
        <v>6666.666666666667</v>
      </c>
      <c r="K23" s="93">
        <v>6666.666666666667</v>
      </c>
      <c r="L23" s="93">
        <v>6666.666666666667</v>
      </c>
      <c r="M23" s="93">
        <v>6666.666666666667</v>
      </c>
      <c r="N23" s="93">
        <v>6666.666666666667</v>
      </c>
      <c r="O23" s="93">
        <v>6666.666666666667</v>
      </c>
      <c r="P23" s="93">
        <f t="shared" si="7"/>
        <v>80000</v>
      </c>
      <c r="Q23" s="93">
        <f t="shared" si="8"/>
        <v>80000</v>
      </c>
      <c r="R23" s="93">
        <v>65087.9</v>
      </c>
      <c r="S23" s="559">
        <f t="shared" si="9"/>
        <v>14912.099999999999</v>
      </c>
    </row>
    <row r="24" spans="1:29">
      <c r="A24" s="89">
        <v>5122</v>
      </c>
      <c r="B24" s="89">
        <v>22101</v>
      </c>
      <c r="C24" s="90" t="s">
        <v>117</v>
      </c>
      <c r="D24" s="93">
        <v>4166.666666666667</v>
      </c>
      <c r="E24" s="93">
        <v>4166.666666666667</v>
      </c>
      <c r="F24" s="93">
        <v>4166.666666666667</v>
      </c>
      <c r="G24" s="93">
        <v>4166.666666666667</v>
      </c>
      <c r="H24" s="93">
        <v>4166.666666666667</v>
      </c>
      <c r="I24" s="93">
        <v>4166.666666666667</v>
      </c>
      <c r="J24" s="93">
        <v>4166.666666666667</v>
      </c>
      <c r="K24" s="93">
        <v>4166.666666666667</v>
      </c>
      <c r="L24" s="93">
        <v>4166.666666666667</v>
      </c>
      <c r="M24" s="93">
        <v>4166.666666666667</v>
      </c>
      <c r="N24" s="93">
        <v>4166.666666666667</v>
      </c>
      <c r="O24" s="93">
        <v>4166.666666666667</v>
      </c>
      <c r="P24" s="93">
        <f t="shared" si="7"/>
        <v>49999.999999999993</v>
      </c>
      <c r="Q24" s="93">
        <f t="shared" si="8"/>
        <v>49999.999999999993</v>
      </c>
      <c r="R24" s="93">
        <v>48403.05</v>
      </c>
      <c r="S24" s="559">
        <f t="shared" si="9"/>
        <v>1596.9499999999898</v>
      </c>
    </row>
    <row r="25" spans="1:29">
      <c r="A25" s="89">
        <v>5125</v>
      </c>
      <c r="B25" s="89">
        <v>25301</v>
      </c>
      <c r="C25" s="90" t="s">
        <v>208</v>
      </c>
      <c r="D25" s="93">
        <v>500</v>
      </c>
      <c r="E25" s="93"/>
      <c r="F25" s="93"/>
      <c r="G25" s="93">
        <v>500</v>
      </c>
      <c r="H25" s="93"/>
      <c r="I25" s="93"/>
      <c r="J25" s="93">
        <v>500</v>
      </c>
      <c r="K25" s="93"/>
      <c r="L25" s="93"/>
      <c r="M25" s="93">
        <v>500</v>
      </c>
      <c r="N25" s="93"/>
      <c r="O25" s="93"/>
      <c r="P25" s="93">
        <f t="shared" si="7"/>
        <v>2000</v>
      </c>
      <c r="Q25" s="93">
        <f t="shared" si="8"/>
        <v>2000</v>
      </c>
      <c r="R25" s="93">
        <v>833.18</v>
      </c>
      <c r="S25" s="559">
        <f t="shared" si="9"/>
        <v>1166.8200000000002</v>
      </c>
    </row>
    <row r="26" spans="1:29">
      <c r="A26" s="89">
        <v>5126</v>
      </c>
      <c r="B26" s="89">
        <v>26101</v>
      </c>
      <c r="C26" s="90" t="s">
        <v>118</v>
      </c>
      <c r="D26" s="93">
        <v>16666.666666666668</v>
      </c>
      <c r="E26" s="93">
        <v>16666.666666666668</v>
      </c>
      <c r="F26" s="93">
        <v>16666.666666666668</v>
      </c>
      <c r="G26" s="93">
        <v>16666.666666666668</v>
      </c>
      <c r="H26" s="93">
        <v>16666.666666666668</v>
      </c>
      <c r="I26" s="93">
        <v>16666.666666666668</v>
      </c>
      <c r="J26" s="93">
        <v>16666.666666666668</v>
      </c>
      <c r="K26" s="93">
        <v>16666.666666666668</v>
      </c>
      <c r="L26" s="93">
        <v>16666.666666666668</v>
      </c>
      <c r="M26" s="93">
        <v>16666.666666666668</v>
      </c>
      <c r="N26" s="93">
        <v>16666.666666666668</v>
      </c>
      <c r="O26" s="93">
        <v>16666.666666666668</v>
      </c>
      <c r="P26" s="93">
        <f t="shared" si="7"/>
        <v>199999.99999999997</v>
      </c>
      <c r="Q26" s="93">
        <f t="shared" si="8"/>
        <v>199999.99999999997</v>
      </c>
      <c r="R26" s="93">
        <v>59486.9</v>
      </c>
      <c r="S26" s="559">
        <f t="shared" si="9"/>
        <v>140513.09999999998</v>
      </c>
    </row>
    <row r="27" spans="1:29">
      <c r="A27" s="106"/>
      <c r="B27" s="106"/>
      <c r="C27" s="107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spans="1:29">
      <c r="A28" s="111" t="s">
        <v>147</v>
      </c>
      <c r="B28" s="116"/>
      <c r="C28" s="113"/>
      <c r="D28" s="117">
        <f t="shared" ref="D28:S28" si="10">SUM(D29:D52)</f>
        <v>6878127.8496233327</v>
      </c>
      <c r="E28" s="117">
        <f t="shared" si="10"/>
        <v>1090889.2096233333</v>
      </c>
      <c r="F28" s="117">
        <f t="shared" si="10"/>
        <v>664899.20962333342</v>
      </c>
      <c r="G28" s="117">
        <f t="shared" si="10"/>
        <v>3739440.8896233332</v>
      </c>
      <c r="H28" s="117">
        <f t="shared" si="10"/>
        <v>1225527.2096233333</v>
      </c>
      <c r="I28" s="117">
        <f t="shared" si="10"/>
        <v>662927.20962333342</v>
      </c>
      <c r="J28" s="117">
        <f t="shared" si="10"/>
        <v>3739440.8896233332</v>
      </c>
      <c r="K28" s="117">
        <f t="shared" si="10"/>
        <v>662927.20962333342</v>
      </c>
      <c r="L28" s="117">
        <f t="shared" si="10"/>
        <v>662927.20962333342</v>
      </c>
      <c r="M28" s="117">
        <f t="shared" si="10"/>
        <v>895007.20962333342</v>
      </c>
      <c r="N28" s="117">
        <f t="shared" si="10"/>
        <v>665943.20962333342</v>
      </c>
      <c r="O28" s="117">
        <f t="shared" si="10"/>
        <v>669829.20962333342</v>
      </c>
      <c r="P28" s="117">
        <f t="shared" si="10"/>
        <v>21557886.515479997</v>
      </c>
      <c r="Q28" s="117">
        <f t="shared" si="10"/>
        <v>21557886.515479997</v>
      </c>
      <c r="R28" s="117">
        <f t="shared" si="10"/>
        <v>8055970.5700000003</v>
      </c>
      <c r="S28" s="117">
        <f t="shared" si="10"/>
        <v>13501915.94548</v>
      </c>
    </row>
    <row r="29" spans="1:29">
      <c r="A29" s="108">
        <v>5131</v>
      </c>
      <c r="B29" s="108">
        <v>31101</v>
      </c>
      <c r="C29" s="109" t="s">
        <v>11</v>
      </c>
      <c r="D29" s="93">
        <v>37500</v>
      </c>
      <c r="E29" s="93">
        <v>37500</v>
      </c>
      <c r="F29" s="93">
        <v>37500</v>
      </c>
      <c r="G29" s="93">
        <v>37500</v>
      </c>
      <c r="H29" s="93">
        <v>37500</v>
      </c>
      <c r="I29" s="93">
        <v>37500</v>
      </c>
      <c r="J29" s="93">
        <v>37500</v>
      </c>
      <c r="K29" s="93">
        <v>37500</v>
      </c>
      <c r="L29" s="93">
        <v>37500</v>
      </c>
      <c r="M29" s="93">
        <v>37500</v>
      </c>
      <c r="N29" s="93">
        <v>37500</v>
      </c>
      <c r="O29" s="93">
        <v>37500</v>
      </c>
      <c r="P29" s="93">
        <f t="shared" ref="P29:P52" si="11">SUM(D29:O29)</f>
        <v>450000</v>
      </c>
      <c r="Q29" s="93">
        <f t="shared" ref="Q29:Q52" si="12">SUM(D29:O29)</f>
        <v>450000</v>
      </c>
      <c r="R29" s="93">
        <v>381080.23</v>
      </c>
      <c r="S29" s="559">
        <f t="shared" ref="S29:S52" si="13">+Q29-R29</f>
        <v>68919.770000000019</v>
      </c>
    </row>
    <row r="30" spans="1:29">
      <c r="A30" s="108">
        <v>5131</v>
      </c>
      <c r="B30" s="108">
        <v>31201</v>
      </c>
      <c r="C30" s="109" t="s">
        <v>160</v>
      </c>
      <c r="D30" s="93">
        <v>6000</v>
      </c>
      <c r="E30" s="93">
        <v>5750</v>
      </c>
      <c r="F30" s="93">
        <v>2000</v>
      </c>
      <c r="G30" s="93">
        <v>300</v>
      </c>
      <c r="H30" s="93">
        <v>300</v>
      </c>
      <c r="I30" s="93">
        <v>300</v>
      </c>
      <c r="J30" s="93">
        <v>300</v>
      </c>
      <c r="K30" s="93">
        <v>300</v>
      </c>
      <c r="L30" s="93">
        <v>300</v>
      </c>
      <c r="M30" s="93">
        <v>300</v>
      </c>
      <c r="N30" s="93">
        <v>2900</v>
      </c>
      <c r="O30" s="93">
        <v>6250</v>
      </c>
      <c r="P30" s="93">
        <f t="shared" si="11"/>
        <v>25000</v>
      </c>
      <c r="Q30" s="93">
        <f t="shared" si="12"/>
        <v>25000</v>
      </c>
      <c r="R30" s="93">
        <v>18800.03</v>
      </c>
      <c r="S30" s="559">
        <f t="shared" si="13"/>
        <v>6199.9700000000012</v>
      </c>
    </row>
    <row r="31" spans="1:29">
      <c r="A31" s="89">
        <v>5131</v>
      </c>
      <c r="B31" s="89">
        <v>31401</v>
      </c>
      <c r="C31" s="90" t="s">
        <v>119</v>
      </c>
      <c r="D31" s="93">
        <v>29166.666666666668</v>
      </c>
      <c r="E31" s="93">
        <v>29166.666666666668</v>
      </c>
      <c r="F31" s="93">
        <v>29166.666666666668</v>
      </c>
      <c r="G31" s="93">
        <v>29166.666666666668</v>
      </c>
      <c r="H31" s="93">
        <v>29166.666666666668</v>
      </c>
      <c r="I31" s="93">
        <v>29166.666666666668</v>
      </c>
      <c r="J31" s="93">
        <v>29166.666666666668</v>
      </c>
      <c r="K31" s="93">
        <v>29166.666666666668</v>
      </c>
      <c r="L31" s="93">
        <v>29166.666666666668</v>
      </c>
      <c r="M31" s="93">
        <v>29166.666666666668</v>
      </c>
      <c r="N31" s="93">
        <v>29166.666666666668</v>
      </c>
      <c r="O31" s="93">
        <v>29166.666666666668</v>
      </c>
      <c r="P31" s="93">
        <f t="shared" si="11"/>
        <v>350000.00000000006</v>
      </c>
      <c r="Q31" s="93">
        <f t="shared" si="12"/>
        <v>350000.00000000006</v>
      </c>
      <c r="R31" s="93">
        <v>297082.18</v>
      </c>
      <c r="S31" s="559">
        <f t="shared" si="13"/>
        <v>52917.820000000065</v>
      </c>
    </row>
    <row r="32" spans="1:29">
      <c r="A32" s="89">
        <v>5131</v>
      </c>
      <c r="B32" s="89">
        <v>31801</v>
      </c>
      <c r="C32" s="90" t="s">
        <v>120</v>
      </c>
      <c r="D32" s="93">
        <v>2500</v>
      </c>
      <c r="E32" s="93">
        <v>2500</v>
      </c>
      <c r="F32" s="93">
        <v>2500</v>
      </c>
      <c r="G32" s="93">
        <v>2500</v>
      </c>
      <c r="H32" s="93">
        <v>2500</v>
      </c>
      <c r="I32" s="93">
        <v>2500</v>
      </c>
      <c r="J32" s="93">
        <v>2500</v>
      </c>
      <c r="K32" s="93">
        <v>2500</v>
      </c>
      <c r="L32" s="93">
        <v>2500</v>
      </c>
      <c r="M32" s="93">
        <v>2500</v>
      </c>
      <c r="N32" s="93">
        <v>2500</v>
      </c>
      <c r="O32" s="93">
        <v>2500</v>
      </c>
      <c r="P32" s="93">
        <f t="shared" si="11"/>
        <v>30000</v>
      </c>
      <c r="Q32" s="93">
        <f t="shared" si="12"/>
        <v>30000</v>
      </c>
      <c r="R32" s="93">
        <v>4547.4399999999996</v>
      </c>
      <c r="S32" s="559">
        <f t="shared" si="13"/>
        <v>25452.560000000001</v>
      </c>
    </row>
    <row r="33" spans="1:22">
      <c r="A33" s="89">
        <v>5131</v>
      </c>
      <c r="B33" s="89">
        <v>31901</v>
      </c>
      <c r="C33" s="90" t="s">
        <v>121</v>
      </c>
      <c r="D33" s="93">
        <v>1083.3333333333333</v>
      </c>
      <c r="E33" s="93">
        <v>1083.3333333333333</v>
      </c>
      <c r="F33" s="93">
        <v>1083.3333333333333</v>
      </c>
      <c r="G33" s="93">
        <v>1083.3333333333333</v>
      </c>
      <c r="H33" s="93">
        <v>1083.3333333333333</v>
      </c>
      <c r="I33" s="93">
        <v>1083.3333333333333</v>
      </c>
      <c r="J33" s="93">
        <v>1083.3333333333333</v>
      </c>
      <c r="K33" s="93">
        <v>1083.3333333333333</v>
      </c>
      <c r="L33" s="93">
        <v>1083.3333333333333</v>
      </c>
      <c r="M33" s="93">
        <v>1083.3333333333333</v>
      </c>
      <c r="N33" s="93">
        <v>1083.3333333333333</v>
      </c>
      <c r="O33" s="93">
        <v>1083.3333333333333</v>
      </c>
      <c r="P33" s="93">
        <f t="shared" si="11"/>
        <v>13000.000000000002</v>
      </c>
      <c r="Q33" s="93">
        <f t="shared" si="12"/>
        <v>13000.000000000002</v>
      </c>
      <c r="R33" s="93"/>
      <c r="S33" s="559">
        <f t="shared" si="13"/>
        <v>13000.000000000002</v>
      </c>
    </row>
    <row r="34" spans="1:22">
      <c r="A34" s="89">
        <v>5132</v>
      </c>
      <c r="B34" s="89">
        <v>32901</v>
      </c>
      <c r="C34" s="90" t="s">
        <v>122</v>
      </c>
      <c r="D34" s="93">
        <v>3300</v>
      </c>
      <c r="E34" s="93">
        <v>3300</v>
      </c>
      <c r="F34" s="93">
        <v>3300</v>
      </c>
      <c r="G34" s="93">
        <v>3300</v>
      </c>
      <c r="H34" s="93">
        <v>3300</v>
      </c>
      <c r="I34" s="93">
        <v>3300</v>
      </c>
      <c r="J34" s="93">
        <v>3300</v>
      </c>
      <c r="K34" s="93">
        <v>3300</v>
      </c>
      <c r="L34" s="93">
        <v>3300</v>
      </c>
      <c r="M34" s="93">
        <v>3300</v>
      </c>
      <c r="N34" s="93">
        <v>3300</v>
      </c>
      <c r="O34" s="93">
        <v>3300</v>
      </c>
      <c r="P34" s="93">
        <f t="shared" si="11"/>
        <v>39600</v>
      </c>
      <c r="Q34" s="93">
        <f t="shared" si="12"/>
        <v>39600</v>
      </c>
      <c r="R34" s="93">
        <v>36150</v>
      </c>
      <c r="S34" s="559">
        <f t="shared" si="13"/>
        <v>3450</v>
      </c>
    </row>
    <row r="35" spans="1:22">
      <c r="A35" s="89">
        <v>5133</v>
      </c>
      <c r="B35" s="89">
        <v>33101</v>
      </c>
      <c r="C35" s="90" t="s">
        <v>123</v>
      </c>
      <c r="D35" s="93">
        <v>33333.333333333336</v>
      </c>
      <c r="E35" s="93">
        <v>33333.333333333336</v>
      </c>
      <c r="F35" s="93">
        <v>33333.333333333336</v>
      </c>
      <c r="G35" s="93">
        <v>33333.333333333336</v>
      </c>
      <c r="H35" s="93">
        <v>33333.333333333336</v>
      </c>
      <c r="I35" s="93">
        <v>33333.333333333336</v>
      </c>
      <c r="J35" s="93">
        <v>33333.333333333336</v>
      </c>
      <c r="K35" s="93">
        <v>33333.333333333336</v>
      </c>
      <c r="L35" s="93">
        <v>33333.333333333336</v>
      </c>
      <c r="M35" s="93">
        <v>33333.333333333336</v>
      </c>
      <c r="N35" s="93">
        <v>33333.333333333336</v>
      </c>
      <c r="O35" s="93">
        <v>33333.333333333336</v>
      </c>
      <c r="P35" s="93">
        <f t="shared" si="11"/>
        <v>399999.99999999994</v>
      </c>
      <c r="Q35" s="93">
        <f t="shared" si="12"/>
        <v>399999.99999999994</v>
      </c>
      <c r="R35" s="93">
        <v>125112</v>
      </c>
      <c r="S35" s="559">
        <f t="shared" si="13"/>
        <v>274887.99999999994</v>
      </c>
    </row>
    <row r="36" spans="1:22">
      <c r="A36" s="89">
        <v>5133</v>
      </c>
      <c r="B36" s="89">
        <v>33301</v>
      </c>
      <c r="C36" s="90" t="s">
        <v>124</v>
      </c>
      <c r="D36" s="93">
        <v>20833.333333333332</v>
      </c>
      <c r="E36" s="93">
        <v>20833.333333333332</v>
      </c>
      <c r="F36" s="93">
        <v>20833.333333333332</v>
      </c>
      <c r="G36" s="93">
        <v>20833.333333333332</v>
      </c>
      <c r="H36" s="93">
        <v>20833.333333333332</v>
      </c>
      <c r="I36" s="93">
        <v>20833.333333333332</v>
      </c>
      <c r="J36" s="93">
        <v>20833.333333333332</v>
      </c>
      <c r="K36" s="93">
        <v>20833.333333333332</v>
      </c>
      <c r="L36" s="93">
        <v>20833.333333333332</v>
      </c>
      <c r="M36" s="93">
        <v>20833.333333333332</v>
      </c>
      <c r="N36" s="93">
        <v>20833.333333333332</v>
      </c>
      <c r="O36" s="93">
        <v>20833.333333333332</v>
      </c>
      <c r="P36" s="93">
        <f t="shared" si="11"/>
        <v>250000.00000000003</v>
      </c>
      <c r="Q36" s="93">
        <f t="shared" si="12"/>
        <v>250000.00000000003</v>
      </c>
      <c r="R36" s="93">
        <v>208513.69</v>
      </c>
      <c r="S36" s="559">
        <f t="shared" si="13"/>
        <v>41486.310000000027</v>
      </c>
      <c r="U36" s="124"/>
    </row>
    <row r="37" spans="1:22">
      <c r="A37" s="89">
        <v>5133</v>
      </c>
      <c r="B37" s="89">
        <v>33401</v>
      </c>
      <c r="C37" s="90" t="s">
        <v>125</v>
      </c>
      <c r="D37" s="93">
        <v>11666.666666666666</v>
      </c>
      <c r="E37" s="93">
        <v>11666.666666666666</v>
      </c>
      <c r="F37" s="93">
        <v>11666.666666666666</v>
      </c>
      <c r="G37" s="93">
        <v>11666.666666666666</v>
      </c>
      <c r="H37" s="93">
        <v>11666.666666666666</v>
      </c>
      <c r="I37" s="93">
        <v>11666.666666666666</v>
      </c>
      <c r="J37" s="93">
        <v>11666.666666666666</v>
      </c>
      <c r="K37" s="93">
        <v>11666.666666666666</v>
      </c>
      <c r="L37" s="93">
        <v>11666.666666666666</v>
      </c>
      <c r="M37" s="93">
        <v>11666.666666666666</v>
      </c>
      <c r="N37" s="93">
        <v>11666.666666666666</v>
      </c>
      <c r="O37" s="93">
        <v>11666.666666666666</v>
      </c>
      <c r="P37" s="93">
        <f t="shared" si="11"/>
        <v>140000.00000000003</v>
      </c>
      <c r="Q37" s="93">
        <f t="shared" si="12"/>
        <v>140000.00000000003</v>
      </c>
      <c r="R37" s="93">
        <v>27504.38</v>
      </c>
      <c r="S37" s="559">
        <f t="shared" si="13"/>
        <v>112495.62000000002</v>
      </c>
    </row>
    <row r="38" spans="1:22">
      <c r="A38" s="89">
        <v>5133</v>
      </c>
      <c r="B38" s="89">
        <v>33901</v>
      </c>
      <c r="C38" s="90" t="s">
        <v>126</v>
      </c>
      <c r="D38" s="93">
        <v>2526404</v>
      </c>
      <c r="E38" s="93"/>
      <c r="F38" s="93"/>
      <c r="G38" s="93">
        <v>2452098</v>
      </c>
      <c r="H38" s="93"/>
      <c r="I38" s="93"/>
      <c r="J38" s="93">
        <v>2452098</v>
      </c>
      <c r="K38" s="93"/>
      <c r="L38" s="93"/>
      <c r="M38" s="93"/>
      <c r="N38" s="93"/>
      <c r="O38" s="93"/>
      <c r="P38" s="93">
        <f t="shared" si="11"/>
        <v>7430600</v>
      </c>
      <c r="Q38" s="93">
        <f t="shared" si="12"/>
        <v>7430600</v>
      </c>
      <c r="R38" s="93">
        <v>2184645.2999999998</v>
      </c>
      <c r="S38" s="559">
        <f t="shared" si="13"/>
        <v>5245954.7</v>
      </c>
    </row>
    <row r="39" spans="1:22">
      <c r="A39" s="89">
        <v>5134</v>
      </c>
      <c r="B39" s="89">
        <v>34101</v>
      </c>
      <c r="C39" s="90" t="s">
        <v>141</v>
      </c>
      <c r="D39" s="93">
        <v>4166.666666666667</v>
      </c>
      <c r="E39" s="93">
        <v>4166.666666666667</v>
      </c>
      <c r="F39" s="93">
        <v>4166.666666666667</v>
      </c>
      <c r="G39" s="93">
        <v>4166.666666666667</v>
      </c>
      <c r="H39" s="93">
        <v>4166.666666666667</v>
      </c>
      <c r="I39" s="93">
        <v>4166.666666666667</v>
      </c>
      <c r="J39" s="93">
        <v>4166.666666666667</v>
      </c>
      <c r="K39" s="93">
        <v>4166.666666666667</v>
      </c>
      <c r="L39" s="93">
        <v>4166.666666666667</v>
      </c>
      <c r="M39" s="93">
        <v>4166.666666666667</v>
      </c>
      <c r="N39" s="93">
        <v>4166.666666666667</v>
      </c>
      <c r="O39" s="93">
        <v>4166.666666666667</v>
      </c>
      <c r="P39" s="93">
        <f t="shared" si="11"/>
        <v>49999.999999999993</v>
      </c>
      <c r="Q39" s="93">
        <f t="shared" si="12"/>
        <v>49999.999999999993</v>
      </c>
      <c r="R39" s="93">
        <v>41065.449999999997</v>
      </c>
      <c r="S39" s="559">
        <f t="shared" si="13"/>
        <v>8934.5499999999956</v>
      </c>
    </row>
    <row r="40" spans="1:22">
      <c r="A40" s="89">
        <v>5134</v>
      </c>
      <c r="B40" s="89">
        <v>34501</v>
      </c>
      <c r="C40" s="90" t="s">
        <v>127</v>
      </c>
      <c r="D40" s="93">
        <v>16666.666666666668</v>
      </c>
      <c r="E40" s="93">
        <v>16666.666666666668</v>
      </c>
      <c r="F40" s="93">
        <v>16666.666666666668</v>
      </c>
      <c r="G40" s="93">
        <v>16666.666666666668</v>
      </c>
      <c r="H40" s="93">
        <v>16666.666666666668</v>
      </c>
      <c r="I40" s="93">
        <v>16666.666666666668</v>
      </c>
      <c r="J40" s="93">
        <v>16666.666666666668</v>
      </c>
      <c r="K40" s="93">
        <v>16666.666666666668</v>
      </c>
      <c r="L40" s="93">
        <v>16666.666666666668</v>
      </c>
      <c r="M40" s="93">
        <v>16666.666666666668</v>
      </c>
      <c r="N40" s="93">
        <v>16666.666666666668</v>
      </c>
      <c r="O40" s="93">
        <v>16666.666666666668</v>
      </c>
      <c r="P40" s="93">
        <f t="shared" si="11"/>
        <v>199999.99999999997</v>
      </c>
      <c r="Q40" s="93">
        <f t="shared" si="12"/>
        <v>199999.99999999997</v>
      </c>
      <c r="R40" s="93">
        <v>111183</v>
      </c>
      <c r="S40" s="559">
        <f t="shared" si="13"/>
        <v>88816.999999999971</v>
      </c>
      <c r="V40" s="731"/>
    </row>
    <row r="41" spans="1:22">
      <c r="A41" s="89">
        <v>5134</v>
      </c>
      <c r="B41" s="89">
        <v>34901</v>
      </c>
      <c r="C41" s="90" t="s">
        <v>128</v>
      </c>
      <c r="D41" s="93">
        <v>1699.0074699999998</v>
      </c>
      <c r="E41" s="93">
        <v>1699.0074699999998</v>
      </c>
      <c r="F41" s="93">
        <v>1699.0074699999998</v>
      </c>
      <c r="G41" s="93">
        <v>1699.0074699999998</v>
      </c>
      <c r="H41" s="93">
        <v>1699.0074699999998</v>
      </c>
      <c r="I41" s="93">
        <v>1699.0074699999998</v>
      </c>
      <c r="J41" s="93">
        <v>1699.0074699999998</v>
      </c>
      <c r="K41" s="93">
        <v>1699.0074699999998</v>
      </c>
      <c r="L41" s="93">
        <v>1699.0074699999998</v>
      </c>
      <c r="M41" s="93">
        <v>1699.0074699999998</v>
      </c>
      <c r="N41" s="93">
        <v>1699.0074699999998</v>
      </c>
      <c r="O41" s="93">
        <v>1699.0074699999998</v>
      </c>
      <c r="P41" s="93">
        <f t="shared" si="11"/>
        <v>20388.089640000002</v>
      </c>
      <c r="Q41" s="93">
        <f t="shared" si="12"/>
        <v>20388.089640000002</v>
      </c>
      <c r="R41" s="93">
        <v>6620.47</v>
      </c>
      <c r="S41" s="559">
        <f t="shared" si="13"/>
        <v>13767.619640000001</v>
      </c>
    </row>
    <row r="42" spans="1:22">
      <c r="A42" s="89">
        <v>5135</v>
      </c>
      <c r="B42" s="89">
        <v>35101</v>
      </c>
      <c r="C42" s="90" t="s">
        <v>129</v>
      </c>
      <c r="D42" s="93">
        <v>200000</v>
      </c>
      <c r="E42" s="93"/>
      <c r="F42" s="93"/>
      <c r="G42" s="93">
        <v>200000</v>
      </c>
      <c r="H42" s="93"/>
      <c r="I42" s="93"/>
      <c r="J42" s="93">
        <v>200000</v>
      </c>
      <c r="K42" s="93"/>
      <c r="L42" s="93"/>
      <c r="M42" s="93">
        <v>200000</v>
      </c>
      <c r="N42" s="93"/>
      <c r="O42" s="93"/>
      <c r="P42" s="93">
        <f t="shared" si="11"/>
        <v>800000</v>
      </c>
      <c r="Q42" s="93">
        <f t="shared" si="12"/>
        <v>800000</v>
      </c>
      <c r="R42" s="93">
        <v>144527.07999999999</v>
      </c>
      <c r="S42" s="559">
        <f t="shared" si="13"/>
        <v>655472.92000000004</v>
      </c>
    </row>
    <row r="43" spans="1:22">
      <c r="A43" s="89">
        <v>5135</v>
      </c>
      <c r="B43" s="89">
        <v>35201</v>
      </c>
      <c r="C43" s="90" t="s">
        <v>130</v>
      </c>
      <c r="D43" s="93">
        <v>5000</v>
      </c>
      <c r="E43" s="93">
        <v>5000</v>
      </c>
      <c r="F43" s="93">
        <v>5000</v>
      </c>
      <c r="G43" s="93">
        <v>5000</v>
      </c>
      <c r="H43" s="93">
        <v>5000</v>
      </c>
      <c r="I43" s="93">
        <v>5000</v>
      </c>
      <c r="J43" s="93">
        <v>5000</v>
      </c>
      <c r="K43" s="93">
        <v>5000</v>
      </c>
      <c r="L43" s="93">
        <v>5000</v>
      </c>
      <c r="M43" s="93">
        <v>5000</v>
      </c>
      <c r="N43" s="93">
        <v>5000</v>
      </c>
      <c r="O43" s="93">
        <v>5000</v>
      </c>
      <c r="P43" s="93">
        <f t="shared" si="11"/>
        <v>60000</v>
      </c>
      <c r="Q43" s="93">
        <f t="shared" si="12"/>
        <v>60000</v>
      </c>
      <c r="R43" s="93">
        <v>4000</v>
      </c>
      <c r="S43" s="559">
        <f t="shared" si="13"/>
        <v>56000</v>
      </c>
    </row>
    <row r="44" spans="1:22" s="775" customFormat="1">
      <c r="A44" s="771">
        <v>5135</v>
      </c>
      <c r="B44" s="771">
        <v>35501</v>
      </c>
      <c r="C44" s="772" t="s">
        <v>131</v>
      </c>
      <c r="D44" s="773">
        <v>25000</v>
      </c>
      <c r="E44" s="773">
        <v>25000</v>
      </c>
      <c r="F44" s="773">
        <v>25000</v>
      </c>
      <c r="G44" s="773">
        <v>25000</v>
      </c>
      <c r="H44" s="773">
        <v>25000</v>
      </c>
      <c r="I44" s="773">
        <v>25000</v>
      </c>
      <c r="J44" s="773">
        <v>25000</v>
      </c>
      <c r="K44" s="773">
        <v>25000</v>
      </c>
      <c r="L44" s="773">
        <v>25000</v>
      </c>
      <c r="M44" s="773">
        <v>25000</v>
      </c>
      <c r="N44" s="773">
        <v>25000</v>
      </c>
      <c r="O44" s="773">
        <v>25000</v>
      </c>
      <c r="P44" s="773">
        <f t="shared" si="11"/>
        <v>300000</v>
      </c>
      <c r="Q44" s="93">
        <f t="shared" si="12"/>
        <v>300000</v>
      </c>
      <c r="R44" s="93">
        <v>120084.42</v>
      </c>
      <c r="S44" s="559">
        <f t="shared" si="13"/>
        <v>179915.58000000002</v>
      </c>
      <c r="V44" s="1347"/>
    </row>
    <row r="45" spans="1:22">
      <c r="A45" s="89">
        <v>5135</v>
      </c>
      <c r="B45" s="89">
        <v>35801</v>
      </c>
      <c r="C45" s="90" t="s">
        <v>132</v>
      </c>
      <c r="D45" s="93">
        <v>13569.7145</v>
      </c>
      <c r="E45" s="93">
        <v>13569.7145</v>
      </c>
      <c r="F45" s="93">
        <v>13569.7145</v>
      </c>
      <c r="G45" s="93">
        <v>13569.7145</v>
      </c>
      <c r="H45" s="93">
        <v>13569.7145</v>
      </c>
      <c r="I45" s="93">
        <v>13569.7145</v>
      </c>
      <c r="J45" s="93">
        <v>13569.7145</v>
      </c>
      <c r="K45" s="93">
        <v>13569.7145</v>
      </c>
      <c r="L45" s="93">
        <v>13569.7145</v>
      </c>
      <c r="M45" s="93">
        <v>13569.7145</v>
      </c>
      <c r="N45" s="93">
        <v>13569.7145</v>
      </c>
      <c r="O45" s="93">
        <v>13569.7145</v>
      </c>
      <c r="P45" s="93">
        <f t="shared" si="11"/>
        <v>162836.57399999999</v>
      </c>
      <c r="Q45" s="93">
        <f t="shared" si="12"/>
        <v>162836.57399999999</v>
      </c>
      <c r="R45" s="93">
        <v>136772.09</v>
      </c>
      <c r="S45" s="559">
        <f t="shared" si="13"/>
        <v>26064.483999999997</v>
      </c>
      <c r="U45" s="127"/>
    </row>
    <row r="46" spans="1:22">
      <c r="A46" s="89">
        <v>5137</v>
      </c>
      <c r="B46" s="89">
        <v>37501</v>
      </c>
      <c r="C46" s="90" t="s">
        <v>133</v>
      </c>
      <c r="D46" s="93">
        <v>60000</v>
      </c>
      <c r="E46" s="93">
        <v>60000</v>
      </c>
      <c r="F46" s="93">
        <v>60000</v>
      </c>
      <c r="G46" s="93">
        <v>60000</v>
      </c>
      <c r="H46" s="93">
        <v>60000</v>
      </c>
      <c r="I46" s="93">
        <v>60000</v>
      </c>
      <c r="J46" s="93">
        <v>60000</v>
      </c>
      <c r="K46" s="93">
        <v>60000</v>
      </c>
      <c r="L46" s="93">
        <v>60000</v>
      </c>
      <c r="M46" s="93">
        <v>60000</v>
      </c>
      <c r="N46" s="93">
        <v>60000</v>
      </c>
      <c r="O46" s="93">
        <v>60000</v>
      </c>
      <c r="P46" s="93">
        <f t="shared" si="11"/>
        <v>720000</v>
      </c>
      <c r="Q46" s="93">
        <f t="shared" si="12"/>
        <v>720000</v>
      </c>
      <c r="R46" s="93">
        <v>150779.51</v>
      </c>
      <c r="S46" s="559">
        <f t="shared" si="13"/>
        <v>569220.49</v>
      </c>
    </row>
    <row r="47" spans="1:22">
      <c r="A47" s="89">
        <v>5137</v>
      </c>
      <c r="B47" s="89">
        <v>37601</v>
      </c>
      <c r="C47" s="90" t="s">
        <v>134</v>
      </c>
      <c r="D47" s="93">
        <v>117333.33333333333</v>
      </c>
      <c r="E47" s="93">
        <v>117333.33333333333</v>
      </c>
      <c r="F47" s="93">
        <v>117333.33333333333</v>
      </c>
      <c r="G47" s="93">
        <v>117333.33333333333</v>
      </c>
      <c r="H47" s="93">
        <v>117333.33333333333</v>
      </c>
      <c r="I47" s="93">
        <v>117333.33333333333</v>
      </c>
      <c r="J47" s="93">
        <v>117333.33333333333</v>
      </c>
      <c r="K47" s="93">
        <v>117333.33333333333</v>
      </c>
      <c r="L47" s="93">
        <v>117333.33333333333</v>
      </c>
      <c r="M47" s="93">
        <v>117333.33333333333</v>
      </c>
      <c r="N47" s="93">
        <v>117333.33333333333</v>
      </c>
      <c r="O47" s="93">
        <v>117333.33333333333</v>
      </c>
      <c r="P47" s="93">
        <f t="shared" si="11"/>
        <v>1407999.9999999998</v>
      </c>
      <c r="Q47" s="93">
        <f t="shared" si="12"/>
        <v>1407999.9999999998</v>
      </c>
      <c r="R47" s="93"/>
      <c r="S47" s="559">
        <f t="shared" si="13"/>
        <v>1407999.9999999998</v>
      </c>
    </row>
    <row r="48" spans="1:22">
      <c r="A48" s="89">
        <v>5138</v>
      </c>
      <c r="B48" s="89">
        <v>38301</v>
      </c>
      <c r="C48" s="90" t="s">
        <v>135</v>
      </c>
      <c r="D48" s="93">
        <v>464000</v>
      </c>
      <c r="E48" s="93">
        <v>350000</v>
      </c>
      <c r="F48" s="93">
        <v>75000</v>
      </c>
      <c r="G48" s="93">
        <v>75000</v>
      </c>
      <c r="H48" s="93">
        <v>560000</v>
      </c>
      <c r="I48" s="93">
        <v>75000</v>
      </c>
      <c r="J48" s="93">
        <v>75000</v>
      </c>
      <c r="K48" s="93">
        <v>75000</v>
      </c>
      <c r="L48" s="93">
        <v>75000</v>
      </c>
      <c r="M48" s="93">
        <v>75000</v>
      </c>
      <c r="N48" s="93">
        <v>75000</v>
      </c>
      <c r="O48" s="93">
        <v>75000</v>
      </c>
      <c r="P48" s="93">
        <f t="shared" si="11"/>
        <v>2049000</v>
      </c>
      <c r="Q48" s="93">
        <f t="shared" si="12"/>
        <v>2049000</v>
      </c>
      <c r="R48" s="93">
        <v>613744.41</v>
      </c>
      <c r="S48" s="559">
        <f t="shared" si="13"/>
        <v>1435255.5899999999</v>
      </c>
    </row>
    <row r="49" spans="1:25">
      <c r="A49" s="89">
        <v>5138</v>
      </c>
      <c r="B49" s="89">
        <v>38501</v>
      </c>
      <c r="C49" s="90" t="s">
        <v>136</v>
      </c>
      <c r="D49" s="93">
        <v>30000</v>
      </c>
      <c r="E49" s="93">
        <v>30000</v>
      </c>
      <c r="F49" s="93">
        <v>30000</v>
      </c>
      <c r="G49" s="93">
        <v>30000</v>
      </c>
      <c r="H49" s="93">
        <v>30000</v>
      </c>
      <c r="I49" s="93">
        <v>30000</v>
      </c>
      <c r="J49" s="93">
        <v>30000</v>
      </c>
      <c r="K49" s="93">
        <v>30000</v>
      </c>
      <c r="L49" s="93">
        <v>30000</v>
      </c>
      <c r="M49" s="93">
        <v>30000</v>
      </c>
      <c r="N49" s="93">
        <v>30000</v>
      </c>
      <c r="O49" s="93">
        <v>30000</v>
      </c>
      <c r="P49" s="93">
        <f t="shared" si="11"/>
        <v>360000</v>
      </c>
      <c r="Q49" s="93">
        <f t="shared" si="12"/>
        <v>360000</v>
      </c>
      <c r="R49" s="93">
        <v>58788.61</v>
      </c>
      <c r="S49" s="559">
        <f t="shared" si="13"/>
        <v>301211.39</v>
      </c>
    </row>
    <row r="50" spans="1:25">
      <c r="A50" s="89">
        <v>5139</v>
      </c>
      <c r="B50" s="89">
        <v>39201</v>
      </c>
      <c r="C50" s="90" t="s">
        <v>1002</v>
      </c>
      <c r="D50" s="93">
        <v>3233071.7943199999</v>
      </c>
      <c r="E50" s="93">
        <v>286487.15431999997</v>
      </c>
      <c r="F50" s="93">
        <v>139247.15432</v>
      </c>
      <c r="G50" s="93">
        <v>563390.83431999991</v>
      </c>
      <c r="H50" s="93">
        <v>216575.15432</v>
      </c>
      <c r="I50" s="93">
        <v>138975.15432</v>
      </c>
      <c r="J50" s="93">
        <v>563390.83431999991</v>
      </c>
      <c r="K50" s="93">
        <v>138975.15432</v>
      </c>
      <c r="L50" s="93">
        <v>138975.15432</v>
      </c>
      <c r="M50" s="93">
        <v>171055.15432</v>
      </c>
      <c r="N50" s="93">
        <v>139391.15432</v>
      </c>
      <c r="O50" s="93">
        <v>139927.15432</v>
      </c>
      <c r="P50" s="93">
        <f t="shared" si="11"/>
        <v>5869461.8518399987</v>
      </c>
      <c r="Q50" s="93">
        <f t="shared" si="12"/>
        <v>5869461.8518399987</v>
      </c>
      <c r="R50" s="93">
        <v>3384970.28</v>
      </c>
      <c r="S50" s="559">
        <f t="shared" si="13"/>
        <v>2484491.5718399989</v>
      </c>
    </row>
    <row r="51" spans="1:25">
      <c r="A51" s="89">
        <v>5139</v>
      </c>
      <c r="B51" s="89">
        <v>39801</v>
      </c>
      <c r="C51" s="90" t="s">
        <v>608</v>
      </c>
      <c r="D51" s="93">
        <v>35000</v>
      </c>
      <c r="E51" s="93">
        <v>35000</v>
      </c>
      <c r="F51" s="93">
        <v>35000</v>
      </c>
      <c r="G51" s="93">
        <v>35000</v>
      </c>
      <c r="H51" s="93">
        <v>35000</v>
      </c>
      <c r="I51" s="93">
        <v>35000</v>
      </c>
      <c r="J51" s="93">
        <v>35000</v>
      </c>
      <c r="K51" s="93">
        <v>35000</v>
      </c>
      <c r="L51" s="93">
        <v>35000</v>
      </c>
      <c r="M51" s="93">
        <v>35000</v>
      </c>
      <c r="N51" s="93">
        <v>35000</v>
      </c>
      <c r="O51" s="93">
        <v>35000</v>
      </c>
      <c r="P51" s="93">
        <f t="shared" si="11"/>
        <v>420000</v>
      </c>
      <c r="Q51" s="93">
        <f t="shared" si="12"/>
        <v>420000</v>
      </c>
      <c r="R51" s="93"/>
      <c r="S51" s="559">
        <f t="shared" si="13"/>
        <v>420000</v>
      </c>
    </row>
    <row r="52" spans="1:25">
      <c r="A52" s="89">
        <v>5139</v>
      </c>
      <c r="B52" s="89">
        <v>39901</v>
      </c>
      <c r="C52" s="90" t="s">
        <v>137</v>
      </c>
      <c r="D52" s="93">
        <v>833.33333333333337</v>
      </c>
      <c r="E52" s="93">
        <v>833.33333333333337</v>
      </c>
      <c r="F52" s="93">
        <v>833.33333333333337</v>
      </c>
      <c r="G52" s="93">
        <v>833.33333333333337</v>
      </c>
      <c r="H52" s="93">
        <v>833.33333333333337</v>
      </c>
      <c r="I52" s="93">
        <v>833.33333333333337</v>
      </c>
      <c r="J52" s="93">
        <v>833.33333333333337</v>
      </c>
      <c r="K52" s="93">
        <v>833.33333333333337</v>
      </c>
      <c r="L52" s="93">
        <v>833.33333333333337</v>
      </c>
      <c r="M52" s="93">
        <v>833.33333333333337</v>
      </c>
      <c r="N52" s="93">
        <v>833.33333333333337</v>
      </c>
      <c r="O52" s="93">
        <v>833.33333333333337</v>
      </c>
      <c r="P52" s="93">
        <f t="shared" si="11"/>
        <v>10000</v>
      </c>
      <c r="Q52" s="93">
        <f t="shared" si="12"/>
        <v>10000</v>
      </c>
      <c r="R52" s="93"/>
      <c r="S52" s="559">
        <f t="shared" si="13"/>
        <v>10000</v>
      </c>
    </row>
    <row r="53" spans="1:25">
      <c r="A53" s="106"/>
      <c r="B53" s="106"/>
      <c r="C53" s="107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559"/>
    </row>
    <row r="54" spans="1:25">
      <c r="A54" s="563" t="s">
        <v>1847</v>
      </c>
      <c r="B54" s="587"/>
      <c r="C54" s="149"/>
      <c r="D54" s="150">
        <f>SUM(D55:D57)</f>
        <v>84749.523684750005</v>
      </c>
      <c r="E54" s="150">
        <f t="shared" ref="E54:O54" si="14">SUM(E55:E57)</f>
        <v>84749.523684750005</v>
      </c>
      <c r="F54" s="150">
        <f t="shared" si="14"/>
        <v>84749.523684750005</v>
      </c>
      <c r="G54" s="150">
        <f t="shared" si="14"/>
        <v>84749.523684750005</v>
      </c>
      <c r="H54" s="150">
        <f t="shared" si="14"/>
        <v>84749.523684750005</v>
      </c>
      <c r="I54" s="150">
        <f t="shared" si="14"/>
        <v>84749.523684750005</v>
      </c>
      <c r="J54" s="150">
        <f t="shared" si="14"/>
        <v>84749.523684750005</v>
      </c>
      <c r="K54" s="150">
        <f t="shared" si="14"/>
        <v>84749.523684750005</v>
      </c>
      <c r="L54" s="150">
        <f t="shared" si="14"/>
        <v>84749.523684750005</v>
      </c>
      <c r="M54" s="150">
        <f t="shared" si="14"/>
        <v>84749.523684750005</v>
      </c>
      <c r="N54" s="150">
        <f t="shared" si="14"/>
        <v>84749.523684750005</v>
      </c>
      <c r="O54" s="150">
        <f t="shared" si="14"/>
        <v>84749.523684750005</v>
      </c>
      <c r="P54" s="150">
        <f t="shared" ref="P54" si="15">SUM(P55:P57)</f>
        <v>1016994.284217</v>
      </c>
      <c r="Q54" s="150">
        <f t="shared" ref="Q54" si="16">SUM(Q55:Q57)</f>
        <v>1016994.284217</v>
      </c>
      <c r="R54" s="150">
        <f t="shared" ref="R54" si="17">SUM(R55:R57)</f>
        <v>794214.88</v>
      </c>
      <c r="S54" s="150">
        <f t="shared" ref="S54" si="18">SUM(S55:S57)</f>
        <v>222779.40421700012</v>
      </c>
    </row>
    <row r="55" spans="1:25">
      <c r="A55" s="108">
        <v>5212</v>
      </c>
      <c r="B55" s="108">
        <v>41503</v>
      </c>
      <c r="C55" s="109" t="s">
        <v>1848</v>
      </c>
      <c r="D55" s="93">
        <v>20000</v>
      </c>
      <c r="E55" s="93">
        <v>20000</v>
      </c>
      <c r="F55" s="93">
        <v>20000</v>
      </c>
      <c r="G55" s="93">
        <v>20000</v>
      </c>
      <c r="H55" s="93">
        <v>20000</v>
      </c>
      <c r="I55" s="93">
        <v>20000</v>
      </c>
      <c r="J55" s="93">
        <v>20000</v>
      </c>
      <c r="K55" s="93">
        <v>20000</v>
      </c>
      <c r="L55" s="93">
        <v>20000</v>
      </c>
      <c r="M55" s="93">
        <v>20000</v>
      </c>
      <c r="N55" s="93">
        <v>20000</v>
      </c>
      <c r="O55" s="93">
        <v>20000</v>
      </c>
      <c r="P55" s="93">
        <f t="shared" ref="P55:P57" si="19">SUM(D55:O55)</f>
        <v>240000</v>
      </c>
      <c r="Q55" s="93">
        <f t="shared" ref="Q55:Q57" si="20">SUM(D55:O55)</f>
        <v>240000</v>
      </c>
      <c r="R55" s="93">
        <v>149551.82</v>
      </c>
      <c r="S55" s="559">
        <f t="shared" ref="S55:S57" si="21">+Q55-R55</f>
        <v>90448.18</v>
      </c>
    </row>
    <row r="56" spans="1:25">
      <c r="A56" s="108">
        <v>5251</v>
      </c>
      <c r="B56" s="108">
        <v>45101</v>
      </c>
      <c r="C56" s="109" t="s">
        <v>1849</v>
      </c>
      <c r="D56" s="93">
        <v>37205.905671749999</v>
      </c>
      <c r="E56" s="93">
        <v>37205.905671749999</v>
      </c>
      <c r="F56" s="93">
        <v>37205.905671749999</v>
      </c>
      <c r="G56" s="93">
        <v>37205.905671749999</v>
      </c>
      <c r="H56" s="93">
        <v>37205.905671749999</v>
      </c>
      <c r="I56" s="93">
        <v>37205.905671749999</v>
      </c>
      <c r="J56" s="93">
        <v>37205.905671749999</v>
      </c>
      <c r="K56" s="93">
        <v>37205.905671749999</v>
      </c>
      <c r="L56" s="93">
        <v>37205.905671749999</v>
      </c>
      <c r="M56" s="93">
        <v>37205.905671749999</v>
      </c>
      <c r="N56" s="93">
        <v>37205.905671749999</v>
      </c>
      <c r="O56" s="93">
        <v>37205.905671749999</v>
      </c>
      <c r="P56" s="93">
        <f t="shared" si="19"/>
        <v>446470.86806100007</v>
      </c>
      <c r="Q56" s="93">
        <f t="shared" si="20"/>
        <v>446470.86806100007</v>
      </c>
      <c r="R56" s="93">
        <v>385278.06</v>
      </c>
      <c r="S56" s="559">
        <f t="shared" si="21"/>
        <v>61192.808061000076</v>
      </c>
    </row>
    <row r="57" spans="1:25">
      <c r="A57" s="89">
        <v>5251</v>
      </c>
      <c r="B57" s="89">
        <v>45201</v>
      </c>
      <c r="C57" s="90" t="s">
        <v>1850</v>
      </c>
      <c r="D57" s="93">
        <v>27543.618013000003</v>
      </c>
      <c r="E57" s="93">
        <v>27543.618013000003</v>
      </c>
      <c r="F57" s="93">
        <v>27543.618013000003</v>
      </c>
      <c r="G57" s="93">
        <v>27543.618013000003</v>
      </c>
      <c r="H57" s="93">
        <v>27543.618013000003</v>
      </c>
      <c r="I57" s="93">
        <v>27543.618013000003</v>
      </c>
      <c r="J57" s="93">
        <v>27543.618013000003</v>
      </c>
      <c r="K57" s="93">
        <v>27543.618013000003</v>
      </c>
      <c r="L57" s="93">
        <v>27543.618013000003</v>
      </c>
      <c r="M57" s="93">
        <v>27543.618013000003</v>
      </c>
      <c r="N57" s="93">
        <v>27543.618013000003</v>
      </c>
      <c r="O57" s="93">
        <v>27543.618013000003</v>
      </c>
      <c r="P57" s="93">
        <f t="shared" si="19"/>
        <v>330523.41615600005</v>
      </c>
      <c r="Q57" s="93">
        <f t="shared" si="20"/>
        <v>330523.41615600005</v>
      </c>
      <c r="R57" s="93">
        <v>259385</v>
      </c>
      <c r="S57" s="559">
        <f t="shared" si="21"/>
        <v>71138.41615600005</v>
      </c>
    </row>
    <row r="58" spans="1:25">
      <c r="A58" s="106"/>
      <c r="B58" s="106"/>
      <c r="C58" s="107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1:25">
      <c r="A59" s="111" t="s">
        <v>235</v>
      </c>
      <c r="B59" s="110"/>
      <c r="C59" s="94"/>
      <c r="D59" s="117">
        <f t="shared" ref="D59:S59" si="22">+D28+D20+D9+D54</f>
        <v>8471866.5179747492</v>
      </c>
      <c r="E59" s="117">
        <f t="shared" si="22"/>
        <v>2684127.8779747495</v>
      </c>
      <c r="F59" s="117">
        <f t="shared" si="22"/>
        <v>2258137.8779747495</v>
      </c>
      <c r="G59" s="117">
        <f t="shared" si="22"/>
        <v>5333179.5579747502</v>
      </c>
      <c r="H59" s="117">
        <f t="shared" si="22"/>
        <v>2818765.8779747495</v>
      </c>
      <c r="I59" s="117">
        <f t="shared" si="22"/>
        <v>2345727.5529747498</v>
      </c>
      <c r="J59" s="117">
        <f t="shared" si="22"/>
        <v>5333179.5579747502</v>
      </c>
      <c r="K59" s="117">
        <f t="shared" si="22"/>
        <v>2256165.8779747495</v>
      </c>
      <c r="L59" s="117">
        <f t="shared" si="22"/>
        <v>2256165.8779747495</v>
      </c>
      <c r="M59" s="117">
        <f t="shared" si="22"/>
        <v>2488745.8779747495</v>
      </c>
      <c r="N59" s="117">
        <f t="shared" si="22"/>
        <v>2259181.8779747495</v>
      </c>
      <c r="O59" s="117">
        <f t="shared" si="22"/>
        <v>4165357.8549747495</v>
      </c>
      <c r="P59" s="117">
        <f t="shared" si="22"/>
        <v>42670602.187696993</v>
      </c>
      <c r="Q59" s="117">
        <f t="shared" si="22"/>
        <v>42670602.187696993</v>
      </c>
      <c r="R59" s="117">
        <f t="shared" si="22"/>
        <v>24272698.580000002</v>
      </c>
      <c r="S59" s="117">
        <f t="shared" si="22"/>
        <v>18397903.607696999</v>
      </c>
      <c r="V59" s="125"/>
      <c r="X59" s="127"/>
      <c r="Y59" s="127"/>
    </row>
    <row r="60" spans="1:25">
      <c r="A60" s="115"/>
      <c r="B60" s="114"/>
      <c r="V60" s="127"/>
    </row>
    <row r="61" spans="1:25">
      <c r="A61" s="115"/>
      <c r="B61" s="114"/>
    </row>
    <row r="62" spans="1:25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25">
      <c r="A63" s="118"/>
      <c r="B63" s="119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</row>
    <row r="64" spans="1:25" ht="15">
      <c r="A64" s="1566" t="s">
        <v>49</v>
      </c>
      <c r="B64" s="1567"/>
      <c r="C64" s="1567"/>
      <c r="D64" s="1567"/>
      <c r="E64" s="1567"/>
      <c r="F64" s="1567"/>
      <c r="G64" s="1567"/>
      <c r="H64" s="1567"/>
      <c r="I64" s="1567"/>
      <c r="J64" s="1567"/>
      <c r="K64" s="1567"/>
      <c r="L64" s="1567"/>
      <c r="M64" s="1567"/>
      <c r="N64" s="1567"/>
      <c r="O64" s="1567"/>
      <c r="P64" s="1567"/>
      <c r="Q64" s="1567"/>
      <c r="R64" s="1567"/>
      <c r="S64" s="1568"/>
    </row>
    <row r="65" spans="1:19">
      <c r="A65" s="115"/>
      <c r="B65" s="114"/>
    </row>
    <row r="66" spans="1:19">
      <c r="A66" s="610" t="s">
        <v>149</v>
      </c>
      <c r="B66" s="611"/>
      <c r="C66" s="612"/>
      <c r="D66" s="607" t="s">
        <v>51</v>
      </c>
      <c r="E66" s="607" t="s">
        <v>52</v>
      </c>
      <c r="F66" s="607" t="s">
        <v>53</v>
      </c>
      <c r="G66" s="607" t="s">
        <v>54</v>
      </c>
      <c r="H66" s="607" t="s">
        <v>55</v>
      </c>
      <c r="I66" s="607" t="s">
        <v>56</v>
      </c>
      <c r="J66" s="607" t="s">
        <v>57</v>
      </c>
      <c r="K66" s="607" t="s">
        <v>58</v>
      </c>
      <c r="L66" s="607" t="s">
        <v>59</v>
      </c>
      <c r="M66" s="607" t="s">
        <v>60</v>
      </c>
      <c r="N66" s="607" t="s">
        <v>61</v>
      </c>
      <c r="O66" s="607" t="s">
        <v>62</v>
      </c>
      <c r="P66" s="607" t="s">
        <v>5629</v>
      </c>
      <c r="Q66" s="607" t="s">
        <v>25</v>
      </c>
      <c r="R66" s="659" t="s">
        <v>236</v>
      </c>
      <c r="S66" s="607" t="s">
        <v>63</v>
      </c>
    </row>
    <row r="67" spans="1:19">
      <c r="A67" s="111" t="s">
        <v>146</v>
      </c>
      <c r="B67" s="116"/>
      <c r="C67" s="113"/>
      <c r="D67" s="117">
        <f t="shared" ref="D67:O67" si="23">SUM(D68)</f>
        <v>88605.92</v>
      </c>
      <c r="E67" s="117">
        <f t="shared" si="23"/>
        <v>88605.92</v>
      </c>
      <c r="F67" s="117">
        <f t="shared" si="23"/>
        <v>88605.92</v>
      </c>
      <c r="G67" s="117">
        <f t="shared" si="23"/>
        <v>88605.92</v>
      </c>
      <c r="H67" s="117">
        <f t="shared" si="23"/>
        <v>88605.92</v>
      </c>
      <c r="I67" s="117">
        <f t="shared" si="23"/>
        <v>88605.92</v>
      </c>
      <c r="J67" s="117">
        <f t="shared" si="23"/>
        <v>88605.92</v>
      </c>
      <c r="K67" s="117">
        <f t="shared" si="23"/>
        <v>88605.92</v>
      </c>
      <c r="L67" s="117">
        <f t="shared" si="23"/>
        <v>88605.92</v>
      </c>
      <c r="M67" s="117">
        <f t="shared" si="23"/>
        <v>88605.92</v>
      </c>
      <c r="N67" s="117">
        <f t="shared" si="23"/>
        <v>88605.92</v>
      </c>
      <c r="O67" s="117">
        <f t="shared" si="23"/>
        <v>88605.92</v>
      </c>
      <c r="P67" s="120">
        <f t="shared" ref="P67:S67" si="24">SUM(P68)</f>
        <v>1063271.0400000003</v>
      </c>
      <c r="Q67" s="120">
        <f t="shared" si="24"/>
        <v>1063271.0400000003</v>
      </c>
      <c r="R67" s="120">
        <f t="shared" si="24"/>
        <v>382059.14</v>
      </c>
      <c r="S67" s="120">
        <f t="shared" si="24"/>
        <v>681211.90000000026</v>
      </c>
    </row>
    <row r="68" spans="1:19">
      <c r="A68" s="89">
        <v>5126</v>
      </c>
      <c r="B68" s="89">
        <v>26101</v>
      </c>
      <c r="C68" s="90" t="s">
        <v>118</v>
      </c>
      <c r="D68" s="93">
        <v>88605.92</v>
      </c>
      <c r="E68" s="93">
        <v>88605.92</v>
      </c>
      <c r="F68" s="93">
        <v>88605.92</v>
      </c>
      <c r="G68" s="93">
        <v>88605.92</v>
      </c>
      <c r="H68" s="93">
        <v>88605.92</v>
      </c>
      <c r="I68" s="93">
        <v>88605.92</v>
      </c>
      <c r="J68" s="93">
        <v>88605.92</v>
      </c>
      <c r="K68" s="93">
        <v>88605.92</v>
      </c>
      <c r="L68" s="93">
        <v>88605.92</v>
      </c>
      <c r="M68" s="93">
        <v>88605.92</v>
      </c>
      <c r="N68" s="93">
        <v>88605.92</v>
      </c>
      <c r="O68" s="93">
        <v>88605.92</v>
      </c>
      <c r="P68" s="93">
        <f>SUM(D68:O68)</f>
        <v>1063271.0400000003</v>
      </c>
      <c r="Q68" s="93">
        <f>SUM(D68:O68)</f>
        <v>1063271.0400000003</v>
      </c>
      <c r="R68" s="93">
        <v>382059.14</v>
      </c>
      <c r="S68" s="559">
        <f>+Q68-R68</f>
        <v>681211.90000000026</v>
      </c>
    </row>
    <row r="69" spans="1:19">
      <c r="A69" s="89"/>
      <c r="B69" s="89"/>
      <c r="C69" s="90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1:19">
      <c r="A70" s="111" t="s">
        <v>147</v>
      </c>
      <c r="B70" s="116"/>
      <c r="C70" s="113"/>
      <c r="D70" s="117">
        <f t="shared" ref="D70:S70" si="25">SUM(D71:D76)</f>
        <v>18267595.798916668</v>
      </c>
      <c r="E70" s="117">
        <f t="shared" si="25"/>
        <v>1267595.8389166666</v>
      </c>
      <c r="F70" s="117">
        <f t="shared" si="25"/>
        <v>1267595.8389166666</v>
      </c>
      <c r="G70" s="117">
        <f t="shared" si="25"/>
        <v>14267595.838916667</v>
      </c>
      <c r="H70" s="117">
        <f t="shared" si="25"/>
        <v>1938085.8389166661</v>
      </c>
      <c r="I70" s="117">
        <f t="shared" si="25"/>
        <v>1267595.8389166666</v>
      </c>
      <c r="J70" s="117">
        <f t="shared" si="25"/>
        <v>14267595.838916667</v>
      </c>
      <c r="K70" s="117">
        <f t="shared" si="25"/>
        <v>1267595.8389166666</v>
      </c>
      <c r="L70" s="117">
        <f t="shared" si="25"/>
        <v>1267595.8389166666</v>
      </c>
      <c r="M70" s="117">
        <f t="shared" si="25"/>
        <v>14267595.838916667</v>
      </c>
      <c r="N70" s="117">
        <f t="shared" si="25"/>
        <v>-5032404.1610833332</v>
      </c>
      <c r="O70" s="117">
        <f t="shared" si="25"/>
        <v>1267595.8389166666</v>
      </c>
      <c r="P70" s="120">
        <f t="shared" si="25"/>
        <v>65581640.027000003</v>
      </c>
      <c r="Q70" s="120">
        <f t="shared" si="25"/>
        <v>65581640.027000003</v>
      </c>
      <c r="R70" s="120">
        <f t="shared" si="25"/>
        <v>15020375.09</v>
      </c>
      <c r="S70" s="120">
        <f t="shared" si="25"/>
        <v>50561264.937000006</v>
      </c>
    </row>
    <row r="71" spans="1:19">
      <c r="A71" s="89">
        <v>5131</v>
      </c>
      <c r="B71" s="89">
        <v>31101</v>
      </c>
      <c r="C71" s="90" t="s">
        <v>11</v>
      </c>
      <c r="D71" s="93">
        <v>515736</v>
      </c>
      <c r="E71" s="93">
        <v>515736</v>
      </c>
      <c r="F71" s="93">
        <v>515736</v>
      </c>
      <c r="G71" s="93">
        <v>515736</v>
      </c>
      <c r="H71" s="93">
        <v>515736</v>
      </c>
      <c r="I71" s="93">
        <v>515736</v>
      </c>
      <c r="J71" s="93">
        <v>515736</v>
      </c>
      <c r="K71" s="93">
        <v>515736</v>
      </c>
      <c r="L71" s="93">
        <v>515736</v>
      </c>
      <c r="M71" s="93">
        <v>515736</v>
      </c>
      <c r="N71" s="93">
        <v>515736</v>
      </c>
      <c r="O71" s="93">
        <v>515736</v>
      </c>
      <c r="P71" s="93">
        <f t="shared" ref="P71:P76" si="26">SUM(D71:O71)</f>
        <v>6188832</v>
      </c>
      <c r="Q71" s="93">
        <f t="shared" ref="Q71:Q76" si="27">SUM(D71:O71)</f>
        <v>6188832</v>
      </c>
      <c r="R71" s="93">
        <v>4593539.4400000004</v>
      </c>
      <c r="S71" s="559">
        <f t="shared" ref="S71:S76" si="28">+Q71-R71</f>
        <v>1595292.5599999996</v>
      </c>
    </row>
    <row r="72" spans="1:19">
      <c r="A72" s="89">
        <v>5131</v>
      </c>
      <c r="B72" s="89">
        <v>31301</v>
      </c>
      <c r="C72" s="90" t="s">
        <v>22</v>
      </c>
      <c r="D72" s="93">
        <v>13000000</v>
      </c>
      <c r="E72" s="93">
        <v>0</v>
      </c>
      <c r="F72" s="93">
        <v>0</v>
      </c>
      <c r="G72" s="93">
        <v>13000000</v>
      </c>
      <c r="H72" s="93">
        <v>0</v>
      </c>
      <c r="I72" s="93">
        <v>0</v>
      </c>
      <c r="J72" s="93">
        <v>13000000</v>
      </c>
      <c r="K72" s="93">
        <v>0</v>
      </c>
      <c r="L72" s="93">
        <v>0</v>
      </c>
      <c r="M72" s="93">
        <v>13000000</v>
      </c>
      <c r="N72" s="1351">
        <v>-6300000</v>
      </c>
      <c r="O72" s="93">
        <v>0</v>
      </c>
      <c r="P72" s="93">
        <f t="shared" si="26"/>
        <v>45700000</v>
      </c>
      <c r="Q72" s="93">
        <f t="shared" si="27"/>
        <v>45700000</v>
      </c>
      <c r="R72" s="93">
        <v>1171002.72</v>
      </c>
      <c r="S72" s="559">
        <f t="shared" si="28"/>
        <v>44528997.280000001</v>
      </c>
    </row>
    <row r="73" spans="1:19">
      <c r="A73" s="89">
        <v>5133</v>
      </c>
      <c r="B73" s="89">
        <v>33801</v>
      </c>
      <c r="C73" s="90" t="s">
        <v>138</v>
      </c>
      <c r="D73" s="93">
        <v>333333.33333333331</v>
      </c>
      <c r="E73" s="93">
        <v>333333.33333333331</v>
      </c>
      <c r="F73" s="93">
        <v>333333.33333333331</v>
      </c>
      <c r="G73" s="93">
        <v>333333.33333333331</v>
      </c>
      <c r="H73" s="1351">
        <f>333333.333333333+370490</f>
        <v>703823.33333333302</v>
      </c>
      <c r="I73" s="93">
        <v>333333.33333333331</v>
      </c>
      <c r="J73" s="93">
        <v>333333.33333333331</v>
      </c>
      <c r="K73" s="93">
        <v>333333.33333333331</v>
      </c>
      <c r="L73" s="93">
        <v>333333.33333333331</v>
      </c>
      <c r="M73" s="93">
        <v>333333.33333333331</v>
      </c>
      <c r="N73" s="93">
        <v>333333.33333333331</v>
      </c>
      <c r="O73" s="93">
        <v>333333.33333333331</v>
      </c>
      <c r="P73" s="93">
        <f t="shared" si="26"/>
        <v>4370490</v>
      </c>
      <c r="Q73" s="93">
        <f t="shared" si="27"/>
        <v>4370490</v>
      </c>
      <c r="R73" s="93">
        <v>4085338.16</v>
      </c>
      <c r="S73" s="559">
        <f t="shared" si="28"/>
        <v>285151.83999999985</v>
      </c>
    </row>
    <row r="74" spans="1:19">
      <c r="A74" s="89">
        <v>5134</v>
      </c>
      <c r="B74" s="89">
        <v>34501</v>
      </c>
      <c r="C74" s="90" t="s">
        <v>127</v>
      </c>
      <c r="D74" s="93">
        <v>25000</v>
      </c>
      <c r="E74" s="93">
        <v>25000</v>
      </c>
      <c r="F74" s="93">
        <v>25000</v>
      </c>
      <c r="G74" s="93">
        <v>25000</v>
      </c>
      <c r="H74" s="93">
        <v>25000</v>
      </c>
      <c r="I74" s="93">
        <v>25000</v>
      </c>
      <c r="J74" s="93">
        <v>25000</v>
      </c>
      <c r="K74" s="93">
        <v>25000</v>
      </c>
      <c r="L74" s="93">
        <v>25000</v>
      </c>
      <c r="M74" s="93">
        <v>25000</v>
      </c>
      <c r="N74" s="93">
        <v>25000</v>
      </c>
      <c r="O74" s="93">
        <v>25000</v>
      </c>
      <c r="P74" s="93">
        <f t="shared" si="26"/>
        <v>300000</v>
      </c>
      <c r="Q74" s="93">
        <f t="shared" si="27"/>
        <v>300000</v>
      </c>
      <c r="R74" s="93">
        <v>171250.68</v>
      </c>
      <c r="S74" s="559">
        <f t="shared" si="28"/>
        <v>128749.32</v>
      </c>
    </row>
    <row r="75" spans="1:19">
      <c r="A75" s="89">
        <v>5135</v>
      </c>
      <c r="B75" s="89">
        <v>35101</v>
      </c>
      <c r="C75" s="90" t="s">
        <v>139</v>
      </c>
      <c r="D75" s="41">
        <v>393526.50558333332</v>
      </c>
      <c r="E75" s="41">
        <v>393526.50558333332</v>
      </c>
      <c r="F75" s="41">
        <v>393526.50558333332</v>
      </c>
      <c r="G75" s="41">
        <v>393526.50558333332</v>
      </c>
      <c r="H75" s="1352">
        <f>393526.505583333+300000</f>
        <v>693526.50558333308</v>
      </c>
      <c r="I75" s="41">
        <v>393526.50558333332</v>
      </c>
      <c r="J75" s="41">
        <v>393526.50558333332</v>
      </c>
      <c r="K75" s="41">
        <v>393526.50558333332</v>
      </c>
      <c r="L75" s="41">
        <v>393526.50558333332</v>
      </c>
      <c r="M75" s="41">
        <v>393526.50558333332</v>
      </c>
      <c r="N75" s="41">
        <v>393526.50558333332</v>
      </c>
      <c r="O75" s="41">
        <v>393526.50558333332</v>
      </c>
      <c r="P75" s="93">
        <f t="shared" si="26"/>
        <v>5022318.0669999979</v>
      </c>
      <c r="Q75" s="93">
        <f t="shared" si="27"/>
        <v>5022318.0669999979</v>
      </c>
      <c r="R75" s="93">
        <v>4251373.05</v>
      </c>
      <c r="S75" s="559">
        <f t="shared" si="28"/>
        <v>770945.01699999813</v>
      </c>
    </row>
    <row r="76" spans="1:19">
      <c r="A76" s="89">
        <v>5135</v>
      </c>
      <c r="B76" s="89">
        <v>35701</v>
      </c>
      <c r="C76" s="90" t="s">
        <v>140</v>
      </c>
      <c r="D76" s="93">
        <v>3999999.9600000004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>
        <f t="shared" si="26"/>
        <v>3999999.9600000004</v>
      </c>
      <c r="Q76" s="93">
        <f t="shared" si="27"/>
        <v>3999999.9600000004</v>
      </c>
      <c r="R76" s="93">
        <v>747871.04</v>
      </c>
      <c r="S76" s="559">
        <f t="shared" si="28"/>
        <v>3252128.9200000004</v>
      </c>
    </row>
    <row r="77" spans="1:19">
      <c r="A77" s="111" t="s">
        <v>154</v>
      </c>
      <c r="B77" s="110"/>
      <c r="C77" s="94"/>
      <c r="D77" s="120">
        <f t="shared" ref="D77:S77" si="29">+D70+D67</f>
        <v>18356201.718916669</v>
      </c>
      <c r="E77" s="120">
        <f t="shared" si="29"/>
        <v>1356201.7589166665</v>
      </c>
      <c r="F77" s="120">
        <f t="shared" si="29"/>
        <v>1356201.7589166665</v>
      </c>
      <c r="G77" s="120">
        <f t="shared" si="29"/>
        <v>14356201.758916667</v>
      </c>
      <c r="H77" s="120">
        <f t="shared" si="29"/>
        <v>2026691.758916666</v>
      </c>
      <c r="I77" s="120">
        <f t="shared" si="29"/>
        <v>1356201.7589166665</v>
      </c>
      <c r="J77" s="120">
        <f t="shared" si="29"/>
        <v>14356201.758916667</v>
      </c>
      <c r="K77" s="120">
        <f t="shared" si="29"/>
        <v>1356201.7589166665</v>
      </c>
      <c r="L77" s="120">
        <f t="shared" si="29"/>
        <v>1356201.7589166665</v>
      </c>
      <c r="M77" s="120">
        <f t="shared" si="29"/>
        <v>14356201.758916667</v>
      </c>
      <c r="N77" s="120">
        <f t="shared" si="29"/>
        <v>-4943798.2410833333</v>
      </c>
      <c r="O77" s="120">
        <f t="shared" si="29"/>
        <v>1356201.7589166665</v>
      </c>
      <c r="P77" s="120">
        <f t="shared" si="29"/>
        <v>66644911.067000002</v>
      </c>
      <c r="Q77" s="120">
        <f t="shared" si="29"/>
        <v>66644911.067000002</v>
      </c>
      <c r="R77" s="120">
        <f t="shared" si="29"/>
        <v>15402434.23</v>
      </c>
      <c r="S77" s="120">
        <f t="shared" si="29"/>
        <v>51242476.837000005</v>
      </c>
    </row>
    <row r="78" spans="1:19">
      <c r="A78" s="115"/>
      <c r="B78" s="114"/>
    </row>
    <row r="79" spans="1:19">
      <c r="A79" s="114"/>
      <c r="B79" s="11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</row>
    <row r="80" spans="1:19" s="2" customFormat="1">
      <c r="A80" s="610" t="s">
        <v>150</v>
      </c>
      <c r="B80" s="611"/>
      <c r="C80" s="612"/>
      <c r="D80" s="607" t="s">
        <v>51</v>
      </c>
      <c r="E80" s="607" t="s">
        <v>52</v>
      </c>
      <c r="F80" s="607" t="s">
        <v>53</v>
      </c>
      <c r="G80" s="607" t="s">
        <v>54</v>
      </c>
      <c r="H80" s="607" t="s">
        <v>55</v>
      </c>
      <c r="I80" s="607" t="s">
        <v>56</v>
      </c>
      <c r="J80" s="607" t="s">
        <v>57</v>
      </c>
      <c r="K80" s="607" t="s">
        <v>58</v>
      </c>
      <c r="L80" s="607" t="s">
        <v>59</v>
      </c>
      <c r="M80" s="607" t="s">
        <v>60</v>
      </c>
      <c r="N80" s="607" t="s">
        <v>61</v>
      </c>
      <c r="O80" s="607" t="s">
        <v>62</v>
      </c>
      <c r="P80" s="607" t="s">
        <v>5629</v>
      </c>
      <c r="Q80" s="607" t="s">
        <v>25</v>
      </c>
      <c r="R80" s="659" t="s">
        <v>236</v>
      </c>
      <c r="S80" s="607" t="s">
        <v>63</v>
      </c>
    </row>
    <row r="81" spans="1:20">
      <c r="A81" s="111" t="s">
        <v>146</v>
      </c>
      <c r="B81" s="116"/>
      <c r="C81" s="113"/>
      <c r="D81" s="117">
        <f t="shared" ref="D81:S81" si="30">SUM(D82)</f>
        <v>6539.5200000000013</v>
      </c>
      <c r="E81" s="117">
        <f t="shared" si="30"/>
        <v>6539.5200000000013</v>
      </c>
      <c r="F81" s="117">
        <f t="shared" si="30"/>
        <v>6539.5200000000013</v>
      </c>
      <c r="G81" s="117">
        <f t="shared" si="30"/>
        <v>6539.5200000000013</v>
      </c>
      <c r="H81" s="117">
        <f t="shared" si="30"/>
        <v>6539.5200000000013</v>
      </c>
      <c r="I81" s="117">
        <f t="shared" si="30"/>
        <v>6539.5200000000013</v>
      </c>
      <c r="J81" s="117">
        <f t="shared" si="30"/>
        <v>6539.5200000000013</v>
      </c>
      <c r="K81" s="117">
        <f t="shared" si="30"/>
        <v>6539.5200000000013</v>
      </c>
      <c r="L81" s="117">
        <f t="shared" si="30"/>
        <v>6539.5200000000013</v>
      </c>
      <c r="M81" s="117">
        <f t="shared" si="30"/>
        <v>6539.5200000000013</v>
      </c>
      <c r="N81" s="117">
        <f t="shared" si="30"/>
        <v>6539.5200000000013</v>
      </c>
      <c r="O81" s="117">
        <f t="shared" si="30"/>
        <v>6539.5200000000013</v>
      </c>
      <c r="P81" s="120">
        <f t="shared" si="30"/>
        <v>78474.240000000034</v>
      </c>
      <c r="Q81" s="120">
        <f t="shared" si="30"/>
        <v>78474.240000000034</v>
      </c>
      <c r="R81" s="120">
        <f t="shared" si="30"/>
        <v>66600</v>
      </c>
      <c r="S81" s="120">
        <f t="shared" si="30"/>
        <v>11874.240000000034</v>
      </c>
    </row>
    <row r="82" spans="1:20">
      <c r="A82" s="89">
        <v>5126</v>
      </c>
      <c r="B82" s="89">
        <v>26101</v>
      </c>
      <c r="C82" s="90" t="s">
        <v>118</v>
      </c>
      <c r="D82" s="93">
        <v>6539.5200000000013</v>
      </c>
      <c r="E82" s="93">
        <v>6539.5200000000013</v>
      </c>
      <c r="F82" s="93">
        <v>6539.5200000000013</v>
      </c>
      <c r="G82" s="93">
        <v>6539.5200000000013</v>
      </c>
      <c r="H82" s="93">
        <v>6539.5200000000013</v>
      </c>
      <c r="I82" s="93">
        <v>6539.5200000000013</v>
      </c>
      <c r="J82" s="93">
        <v>6539.5200000000013</v>
      </c>
      <c r="K82" s="93">
        <v>6539.5200000000013</v>
      </c>
      <c r="L82" s="93">
        <v>6539.5200000000013</v>
      </c>
      <c r="M82" s="93">
        <v>6539.5200000000013</v>
      </c>
      <c r="N82" s="93">
        <v>6539.5200000000013</v>
      </c>
      <c r="O82" s="93">
        <v>6539.5200000000013</v>
      </c>
      <c r="P82" s="93">
        <f>SUM(D82:O82)</f>
        <v>78474.240000000034</v>
      </c>
      <c r="Q82" s="93">
        <f>SUM(D82:O82)</f>
        <v>78474.240000000034</v>
      </c>
      <c r="R82" s="93">
        <v>66600</v>
      </c>
      <c r="S82" s="559">
        <f>+Q82-R82</f>
        <v>11874.240000000034</v>
      </c>
    </row>
    <row r="83" spans="1:20">
      <c r="A83" s="89"/>
      <c r="B83" s="89"/>
      <c r="C83" s="90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1:20">
      <c r="A84" s="111" t="s">
        <v>147</v>
      </c>
      <c r="B84" s="110"/>
      <c r="C84" s="94"/>
      <c r="D84" s="117">
        <f t="shared" ref="D84:S84" si="31">SUM(D85:D88)</f>
        <v>3213704.4331666669</v>
      </c>
      <c r="E84" s="117">
        <f t="shared" si="31"/>
        <v>313704.47316666663</v>
      </c>
      <c r="F84" s="117">
        <f t="shared" si="31"/>
        <v>313704.47316666663</v>
      </c>
      <c r="G84" s="117">
        <f t="shared" si="31"/>
        <v>1613704.4731666667</v>
      </c>
      <c r="H84" s="117">
        <f t="shared" si="31"/>
        <v>413704.47316666692</v>
      </c>
      <c r="I84" s="117">
        <f t="shared" si="31"/>
        <v>313704.47316666663</v>
      </c>
      <c r="J84" s="117">
        <f t="shared" si="31"/>
        <v>2113704.4731666665</v>
      </c>
      <c r="K84" s="117">
        <f t="shared" si="31"/>
        <v>313704.47316666663</v>
      </c>
      <c r="L84" s="117">
        <f t="shared" si="31"/>
        <v>313704.47316666663</v>
      </c>
      <c r="M84" s="117">
        <f t="shared" si="31"/>
        <v>1613704.4731666667</v>
      </c>
      <c r="N84" s="117">
        <f t="shared" si="31"/>
        <v>313704.47316666663</v>
      </c>
      <c r="O84" s="117">
        <f t="shared" si="31"/>
        <v>313704.47316666663</v>
      </c>
      <c r="P84" s="117">
        <f t="shared" si="31"/>
        <v>11164453.638</v>
      </c>
      <c r="Q84" s="117">
        <f t="shared" si="31"/>
        <v>11164453.638</v>
      </c>
      <c r="R84" s="117">
        <f t="shared" si="31"/>
        <v>3488401.16</v>
      </c>
      <c r="S84" s="117">
        <f t="shared" si="31"/>
        <v>7676052.4780000001</v>
      </c>
    </row>
    <row r="85" spans="1:20" s="2" customFormat="1">
      <c r="A85" s="108">
        <v>5131</v>
      </c>
      <c r="B85" s="108">
        <v>31101</v>
      </c>
      <c r="C85" s="109" t="s">
        <v>11</v>
      </c>
      <c r="D85" s="93">
        <v>129043.19999999997</v>
      </c>
      <c r="E85" s="93">
        <v>129043.19999999997</v>
      </c>
      <c r="F85" s="93">
        <v>129043.19999999997</v>
      </c>
      <c r="G85" s="93">
        <v>129043.19999999997</v>
      </c>
      <c r="H85" s="93">
        <v>129043.19999999997</v>
      </c>
      <c r="I85" s="93">
        <v>129043.19999999997</v>
      </c>
      <c r="J85" s="1351">
        <f>129043.2+500000</f>
        <v>629043.19999999995</v>
      </c>
      <c r="K85" s="93">
        <v>129043.19999999997</v>
      </c>
      <c r="L85" s="93">
        <v>129043.19999999997</v>
      </c>
      <c r="M85" s="93">
        <v>129043.19999999997</v>
      </c>
      <c r="N85" s="93">
        <v>129043.19999999997</v>
      </c>
      <c r="O85" s="93">
        <v>129043.19999999997</v>
      </c>
      <c r="P85" s="93">
        <f t="shared" ref="P85:P88" si="32">SUM(D85:O85)</f>
        <v>2048518.3999999997</v>
      </c>
      <c r="Q85" s="93">
        <f t="shared" ref="Q85:Q88" si="33">SUM(D85:O85)</f>
        <v>2048518.3999999997</v>
      </c>
      <c r="R85" s="93">
        <v>1794933.29</v>
      </c>
      <c r="S85" s="559">
        <f t="shared" ref="S85:S88" si="34">+Q85-R85</f>
        <v>253585.10999999964</v>
      </c>
    </row>
    <row r="86" spans="1:20">
      <c r="A86" s="89">
        <v>5131</v>
      </c>
      <c r="B86" s="89">
        <v>31301</v>
      </c>
      <c r="C86" s="90" t="s">
        <v>22</v>
      </c>
      <c r="D86" s="93">
        <v>1300000</v>
      </c>
      <c r="E86" s="93">
        <v>0</v>
      </c>
      <c r="F86" s="93">
        <v>0</v>
      </c>
      <c r="G86" s="93">
        <v>1300000</v>
      </c>
      <c r="H86" s="93">
        <v>0</v>
      </c>
      <c r="I86" s="93">
        <v>0</v>
      </c>
      <c r="J86" s="93">
        <v>1300000</v>
      </c>
      <c r="K86" s="93">
        <v>0</v>
      </c>
      <c r="L86" s="93">
        <v>0</v>
      </c>
      <c r="M86" s="93">
        <v>1300000</v>
      </c>
      <c r="N86" s="1351"/>
      <c r="O86" s="93">
        <v>0</v>
      </c>
      <c r="P86" s="93">
        <f t="shared" si="32"/>
        <v>5200000</v>
      </c>
      <c r="Q86" s="93">
        <f t="shared" si="33"/>
        <v>5200000</v>
      </c>
      <c r="R86" s="93">
        <v>379708</v>
      </c>
      <c r="S86" s="559">
        <f t="shared" si="34"/>
        <v>4820292</v>
      </c>
    </row>
    <row r="87" spans="1:20">
      <c r="A87" s="89">
        <v>5135</v>
      </c>
      <c r="B87" s="89">
        <v>35101</v>
      </c>
      <c r="C87" s="90" t="s">
        <v>139</v>
      </c>
      <c r="D87" s="93">
        <v>184661.27316666665</v>
      </c>
      <c r="E87" s="93">
        <v>184661.27316666665</v>
      </c>
      <c r="F87" s="93">
        <v>184661.27316666665</v>
      </c>
      <c r="G87" s="93">
        <v>184661.27316666665</v>
      </c>
      <c r="H87" s="1351">
        <f>184661.273166667+100000</f>
        <v>284661.27316666697</v>
      </c>
      <c r="I87" s="93">
        <v>184661.27316666665</v>
      </c>
      <c r="J87" s="93">
        <v>184661.27316666665</v>
      </c>
      <c r="K87" s="93">
        <v>184661.27316666665</v>
      </c>
      <c r="L87" s="93">
        <v>184661.27316666665</v>
      </c>
      <c r="M87" s="93">
        <v>184661.27316666665</v>
      </c>
      <c r="N87" s="93">
        <v>184661.27316666665</v>
      </c>
      <c r="O87" s="93">
        <v>184661.27316666665</v>
      </c>
      <c r="P87" s="93">
        <f t="shared" si="32"/>
        <v>2315935.2780000004</v>
      </c>
      <c r="Q87" s="93">
        <f t="shared" si="33"/>
        <v>2315935.2780000004</v>
      </c>
      <c r="R87" s="93">
        <v>1033166.91</v>
      </c>
      <c r="S87" s="559">
        <f t="shared" si="34"/>
        <v>1282768.3680000002</v>
      </c>
    </row>
    <row r="88" spans="1:20">
      <c r="A88" s="89">
        <v>5135</v>
      </c>
      <c r="B88" s="89">
        <v>35701</v>
      </c>
      <c r="C88" s="90" t="s">
        <v>140</v>
      </c>
      <c r="D88" s="93">
        <v>1599999.9600000002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>
        <f t="shared" si="32"/>
        <v>1599999.9600000002</v>
      </c>
      <c r="Q88" s="93">
        <f t="shared" si="33"/>
        <v>1599999.9600000002</v>
      </c>
      <c r="R88" s="93">
        <v>280592.96000000002</v>
      </c>
      <c r="S88" s="559">
        <f t="shared" si="34"/>
        <v>1319407.0000000002</v>
      </c>
    </row>
    <row r="89" spans="1:20">
      <c r="A89" s="111" t="s">
        <v>155</v>
      </c>
      <c r="B89" s="110"/>
      <c r="C89" s="94"/>
      <c r="D89" s="120">
        <f>+D84+D81</f>
        <v>3220243.9531666669</v>
      </c>
      <c r="E89" s="120">
        <f t="shared" ref="E89:S89" si="35">+E84+E81</f>
        <v>320243.99316666665</v>
      </c>
      <c r="F89" s="120">
        <f t="shared" si="35"/>
        <v>320243.99316666665</v>
      </c>
      <c r="G89" s="120">
        <f t="shared" si="35"/>
        <v>1620243.9931666667</v>
      </c>
      <c r="H89" s="120">
        <f t="shared" si="35"/>
        <v>420243.99316666694</v>
      </c>
      <c r="I89" s="120">
        <f t="shared" si="35"/>
        <v>320243.99316666665</v>
      </c>
      <c r="J89" s="120">
        <f t="shared" si="35"/>
        <v>2120243.9931666665</v>
      </c>
      <c r="K89" s="120">
        <f t="shared" si="35"/>
        <v>320243.99316666665</v>
      </c>
      <c r="L89" s="120">
        <f t="shared" si="35"/>
        <v>320243.99316666665</v>
      </c>
      <c r="M89" s="120">
        <f t="shared" si="35"/>
        <v>1620243.9931666667</v>
      </c>
      <c r="N89" s="120">
        <f t="shared" si="35"/>
        <v>320243.99316666665</v>
      </c>
      <c r="O89" s="120">
        <f t="shared" si="35"/>
        <v>320243.99316666665</v>
      </c>
      <c r="P89" s="120">
        <f t="shared" si="35"/>
        <v>11242927.878</v>
      </c>
      <c r="Q89" s="120">
        <f t="shared" si="35"/>
        <v>11242927.878</v>
      </c>
      <c r="R89" s="120">
        <f t="shared" si="35"/>
        <v>3555001.16</v>
      </c>
      <c r="S89" s="120">
        <f t="shared" si="35"/>
        <v>7687926.7180000003</v>
      </c>
    </row>
    <row r="90" spans="1:20">
      <c r="A90" s="115"/>
      <c r="B90" s="114"/>
    </row>
    <row r="91" spans="1:20" s="2" customFormat="1">
      <c r="A91" s="114"/>
      <c r="B91" s="114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20">
      <c r="A92" s="610" t="s">
        <v>151</v>
      </c>
      <c r="B92" s="611"/>
      <c r="C92" s="612"/>
      <c r="D92" s="607" t="s">
        <v>51</v>
      </c>
      <c r="E92" s="607" t="s">
        <v>52</v>
      </c>
      <c r="F92" s="607" t="s">
        <v>53</v>
      </c>
      <c r="G92" s="607" t="s">
        <v>54</v>
      </c>
      <c r="H92" s="607" t="s">
        <v>55</v>
      </c>
      <c r="I92" s="607" t="s">
        <v>56</v>
      </c>
      <c r="J92" s="607" t="s">
        <v>57</v>
      </c>
      <c r="K92" s="607" t="s">
        <v>58</v>
      </c>
      <c r="L92" s="607" t="s">
        <v>59</v>
      </c>
      <c r="M92" s="607" t="s">
        <v>60</v>
      </c>
      <c r="N92" s="607" t="s">
        <v>61</v>
      </c>
      <c r="O92" s="607" t="s">
        <v>62</v>
      </c>
      <c r="P92" s="607" t="s">
        <v>5629</v>
      </c>
      <c r="Q92" s="607" t="s">
        <v>25</v>
      </c>
      <c r="R92" s="659" t="s">
        <v>236</v>
      </c>
      <c r="S92" s="607" t="s">
        <v>63</v>
      </c>
    </row>
    <row r="93" spans="1:20">
      <c r="A93" s="111" t="s">
        <v>146</v>
      </c>
      <c r="B93" s="116"/>
      <c r="C93" s="113"/>
      <c r="D93" s="117">
        <f t="shared" ref="D93:S93" si="36">SUM(D94)</f>
        <v>8520.5120000000006</v>
      </c>
      <c r="E93" s="117">
        <f t="shared" si="36"/>
        <v>8520.5120000000006</v>
      </c>
      <c r="F93" s="117">
        <f t="shared" si="36"/>
        <v>8520.5120000000006</v>
      </c>
      <c r="G93" s="117">
        <f t="shared" si="36"/>
        <v>8520.5120000000006</v>
      </c>
      <c r="H93" s="117">
        <f t="shared" si="36"/>
        <v>8520.5120000000006</v>
      </c>
      <c r="I93" s="117">
        <f t="shared" si="36"/>
        <v>8520.5120000000006</v>
      </c>
      <c r="J93" s="117">
        <f t="shared" si="36"/>
        <v>8520.5120000000006</v>
      </c>
      <c r="K93" s="117">
        <f t="shared" si="36"/>
        <v>8520.5120000000006</v>
      </c>
      <c r="L93" s="117">
        <f t="shared" si="36"/>
        <v>8520.5120000000006</v>
      </c>
      <c r="M93" s="117">
        <f t="shared" si="36"/>
        <v>8520.5120000000006</v>
      </c>
      <c r="N93" s="117">
        <f t="shared" si="36"/>
        <v>8520.5120000000006</v>
      </c>
      <c r="O93" s="117">
        <f t="shared" si="36"/>
        <v>8520.5120000000006</v>
      </c>
      <c r="P93" s="120">
        <f t="shared" si="36"/>
        <v>102246.14400000001</v>
      </c>
      <c r="Q93" s="120">
        <f t="shared" si="36"/>
        <v>102246.14400000001</v>
      </c>
      <c r="R93" s="120">
        <f t="shared" si="36"/>
        <v>19800</v>
      </c>
      <c r="S93" s="120">
        <f t="shared" si="36"/>
        <v>82446.144000000015</v>
      </c>
    </row>
    <row r="94" spans="1:20">
      <c r="A94" s="89">
        <v>5126</v>
      </c>
      <c r="B94" s="89">
        <v>26101</v>
      </c>
      <c r="C94" s="90" t="s">
        <v>118</v>
      </c>
      <c r="D94" s="93">
        <v>8520.5120000000006</v>
      </c>
      <c r="E94" s="93">
        <v>8520.5120000000006</v>
      </c>
      <c r="F94" s="93">
        <v>8520.5120000000006</v>
      </c>
      <c r="G94" s="93">
        <v>8520.5120000000006</v>
      </c>
      <c r="H94" s="93">
        <v>8520.5120000000006</v>
      </c>
      <c r="I94" s="93">
        <v>8520.5120000000006</v>
      </c>
      <c r="J94" s="93">
        <v>8520.5120000000006</v>
      </c>
      <c r="K94" s="93">
        <v>8520.5120000000006</v>
      </c>
      <c r="L94" s="93">
        <v>8520.5120000000006</v>
      </c>
      <c r="M94" s="93">
        <v>8520.5120000000006</v>
      </c>
      <c r="N94" s="93">
        <v>8520.5120000000006</v>
      </c>
      <c r="O94" s="93">
        <v>8520.5120000000006</v>
      </c>
      <c r="P94" s="93">
        <f>SUM(D94:O94)</f>
        <v>102246.14400000001</v>
      </c>
      <c r="Q94" s="93">
        <f>SUM(D94:O94)</f>
        <v>102246.14400000001</v>
      </c>
      <c r="R94" s="93">
        <v>19800</v>
      </c>
      <c r="S94" s="559">
        <f>+Q94-R94</f>
        <v>82446.144000000015</v>
      </c>
    </row>
    <row r="95" spans="1:20">
      <c r="A95" s="89"/>
      <c r="B95" s="89"/>
      <c r="C95" s="90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1:20">
      <c r="A96" s="111" t="s">
        <v>147</v>
      </c>
      <c r="B96" s="110"/>
      <c r="C96" s="94"/>
      <c r="D96" s="117">
        <f t="shared" ref="D96:S96" si="37">SUM(D97:D101)</f>
        <v>2270163.851166667</v>
      </c>
      <c r="E96" s="117">
        <f t="shared" si="37"/>
        <v>270163.89116666664</v>
      </c>
      <c r="F96" s="117">
        <f t="shared" si="37"/>
        <v>270163.89116666664</v>
      </c>
      <c r="G96" s="117">
        <f t="shared" si="37"/>
        <v>670163.89116666664</v>
      </c>
      <c r="H96" s="117">
        <f t="shared" si="37"/>
        <v>487663.8911666667</v>
      </c>
      <c r="I96" s="117">
        <f t="shared" si="37"/>
        <v>270163.89116666664</v>
      </c>
      <c r="J96" s="117">
        <f t="shared" si="37"/>
        <v>670163.89116666664</v>
      </c>
      <c r="K96" s="117">
        <f t="shared" si="37"/>
        <v>270163.89116666664</v>
      </c>
      <c r="L96" s="117">
        <f t="shared" si="37"/>
        <v>270163.89116666664</v>
      </c>
      <c r="M96" s="117">
        <f t="shared" si="37"/>
        <v>670163.89116666664</v>
      </c>
      <c r="N96" s="117">
        <f t="shared" si="37"/>
        <v>6570163.8911666665</v>
      </c>
      <c r="O96" s="117">
        <f t="shared" si="37"/>
        <v>270163.89116666664</v>
      </c>
      <c r="P96" s="117">
        <f t="shared" si="37"/>
        <v>12959466.654000001</v>
      </c>
      <c r="Q96" s="117">
        <f t="shared" si="37"/>
        <v>12959466.654000001</v>
      </c>
      <c r="R96" s="117">
        <f t="shared" si="37"/>
        <v>5875750.2000000002</v>
      </c>
      <c r="S96" s="117">
        <f t="shared" si="37"/>
        <v>7083716.4539999999</v>
      </c>
      <c r="T96" s="9"/>
    </row>
    <row r="97" spans="1:22">
      <c r="A97" s="108">
        <v>5131</v>
      </c>
      <c r="B97" s="108">
        <v>31101</v>
      </c>
      <c r="C97" s="109" t="s">
        <v>11</v>
      </c>
      <c r="D97" s="93">
        <v>81000</v>
      </c>
      <c r="E97" s="93">
        <v>81000</v>
      </c>
      <c r="F97" s="93">
        <v>81000</v>
      </c>
      <c r="G97" s="93">
        <v>81000</v>
      </c>
      <c r="H97" s="93">
        <v>81000</v>
      </c>
      <c r="I97" s="93">
        <v>81000</v>
      </c>
      <c r="J97" s="93">
        <v>81000</v>
      </c>
      <c r="K97" s="93">
        <v>81000</v>
      </c>
      <c r="L97" s="93">
        <v>81000</v>
      </c>
      <c r="M97" s="93">
        <v>81000</v>
      </c>
      <c r="N97" s="93">
        <v>81000</v>
      </c>
      <c r="O97" s="93">
        <v>81000</v>
      </c>
      <c r="P97" s="93">
        <f t="shared" ref="P97:P101" si="38">SUM(D97:O97)</f>
        <v>972000</v>
      </c>
      <c r="Q97" s="93">
        <f t="shared" ref="Q97:Q101" si="39">SUM(D97:O97)</f>
        <v>972000</v>
      </c>
      <c r="R97" s="93">
        <v>276998.74</v>
      </c>
      <c r="S97" s="559">
        <f t="shared" ref="S97:S101" si="40">+Q97-R97</f>
        <v>695001.26</v>
      </c>
    </row>
    <row r="98" spans="1:22">
      <c r="A98" s="89">
        <v>5131</v>
      </c>
      <c r="B98" s="89">
        <v>31301</v>
      </c>
      <c r="C98" s="90" t="s">
        <v>22</v>
      </c>
      <c r="D98" s="93">
        <v>400000</v>
      </c>
      <c r="E98" s="93">
        <v>0</v>
      </c>
      <c r="F98" s="93">
        <v>0</v>
      </c>
      <c r="G98" s="93">
        <v>400000</v>
      </c>
      <c r="H98" s="93">
        <v>0</v>
      </c>
      <c r="I98" s="93">
        <v>0</v>
      </c>
      <c r="J98" s="93">
        <v>400000</v>
      </c>
      <c r="K98" s="93">
        <v>0</v>
      </c>
      <c r="L98" s="93">
        <v>0</v>
      </c>
      <c r="M98" s="93">
        <v>400000</v>
      </c>
      <c r="N98" s="1351">
        <v>6300000</v>
      </c>
      <c r="O98" s="93">
        <v>0</v>
      </c>
      <c r="P98" s="93">
        <f t="shared" si="38"/>
        <v>7900000</v>
      </c>
      <c r="Q98" s="93">
        <f t="shared" si="39"/>
        <v>7900000</v>
      </c>
      <c r="R98" s="93">
        <v>3254966.5</v>
      </c>
      <c r="S98" s="559">
        <f t="shared" si="40"/>
        <v>4645033.5</v>
      </c>
    </row>
    <row r="99" spans="1:22">
      <c r="A99" s="89">
        <v>5133</v>
      </c>
      <c r="B99" s="89">
        <v>33801</v>
      </c>
      <c r="C99" s="90" t="s">
        <v>138</v>
      </c>
      <c r="D99" s="93">
        <v>105000</v>
      </c>
      <c r="E99" s="93">
        <v>105000</v>
      </c>
      <c r="F99" s="93">
        <v>105000</v>
      </c>
      <c r="G99" s="93">
        <v>105000</v>
      </c>
      <c r="H99" s="1351">
        <f>105000+137500</f>
        <v>242500</v>
      </c>
      <c r="I99" s="93">
        <v>105000</v>
      </c>
      <c r="J99" s="93">
        <v>105000</v>
      </c>
      <c r="K99" s="93">
        <v>105000</v>
      </c>
      <c r="L99" s="93">
        <v>105000</v>
      </c>
      <c r="M99" s="93">
        <v>105000</v>
      </c>
      <c r="N99" s="93">
        <v>105000</v>
      </c>
      <c r="O99" s="93">
        <v>105000</v>
      </c>
      <c r="P99" s="93">
        <f t="shared" si="38"/>
        <v>1397500</v>
      </c>
      <c r="Q99" s="93">
        <f t="shared" si="39"/>
        <v>1397500</v>
      </c>
      <c r="R99" s="93">
        <v>1396954.96</v>
      </c>
      <c r="S99" s="559">
        <f t="shared" si="40"/>
        <v>545.04000000003725</v>
      </c>
    </row>
    <row r="100" spans="1:22">
      <c r="A100" s="89">
        <v>5135</v>
      </c>
      <c r="B100" s="89">
        <v>35101</v>
      </c>
      <c r="C100" s="90" t="s">
        <v>139</v>
      </c>
      <c r="D100" s="93">
        <v>84163.891166666668</v>
      </c>
      <c r="E100" s="93">
        <v>84163.891166666668</v>
      </c>
      <c r="F100" s="93">
        <v>84163.891166666668</v>
      </c>
      <c r="G100" s="93">
        <v>84163.891166666668</v>
      </c>
      <c r="H100" s="1351">
        <f>84163.8911666667+80000</f>
        <v>164163.8911666667</v>
      </c>
      <c r="I100" s="93">
        <v>84163.891166666668</v>
      </c>
      <c r="J100" s="93">
        <v>84163.891166666668</v>
      </c>
      <c r="K100" s="93">
        <v>84163.891166666668</v>
      </c>
      <c r="L100" s="93">
        <v>84163.891166666668</v>
      </c>
      <c r="M100" s="93">
        <v>84163.891166666668</v>
      </c>
      <c r="N100" s="93">
        <v>84163.891166666668</v>
      </c>
      <c r="O100" s="93">
        <v>84163.891166666668</v>
      </c>
      <c r="P100" s="93">
        <f t="shared" si="38"/>
        <v>1089966.6939999999</v>
      </c>
      <c r="Q100" s="93">
        <f t="shared" si="39"/>
        <v>1089966.6939999999</v>
      </c>
      <c r="R100" s="93">
        <v>640931.83999999997</v>
      </c>
      <c r="S100" s="559">
        <f t="shared" si="40"/>
        <v>449034.85399999993</v>
      </c>
    </row>
    <row r="101" spans="1:22">
      <c r="A101" s="89">
        <v>5135</v>
      </c>
      <c r="B101" s="89">
        <v>35701</v>
      </c>
      <c r="C101" s="90" t="s">
        <v>140</v>
      </c>
      <c r="D101" s="93">
        <v>1599999.9600000002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>
        <f t="shared" si="38"/>
        <v>1599999.9600000002</v>
      </c>
      <c r="Q101" s="93">
        <f t="shared" si="39"/>
        <v>1599999.9600000002</v>
      </c>
      <c r="R101" s="93">
        <v>305898.15999999997</v>
      </c>
      <c r="S101" s="559">
        <f t="shared" si="40"/>
        <v>1294101.8000000003</v>
      </c>
    </row>
    <row r="102" spans="1:22" s="2" customFormat="1">
      <c r="A102" s="111" t="s">
        <v>156</v>
      </c>
      <c r="B102" s="110"/>
      <c r="C102" s="94"/>
      <c r="D102" s="117">
        <f>+D96+D93</f>
        <v>2278684.3631666671</v>
      </c>
      <c r="E102" s="117">
        <f t="shared" ref="E102:S102" si="41">+E96+E93</f>
        <v>278684.40316666663</v>
      </c>
      <c r="F102" s="117">
        <f t="shared" si="41"/>
        <v>278684.40316666663</v>
      </c>
      <c r="G102" s="117">
        <f t="shared" si="41"/>
        <v>678684.40316666663</v>
      </c>
      <c r="H102" s="117">
        <f t="shared" si="41"/>
        <v>496184.40316666669</v>
      </c>
      <c r="I102" s="117">
        <f t="shared" si="41"/>
        <v>278684.40316666663</v>
      </c>
      <c r="J102" s="117">
        <f t="shared" si="41"/>
        <v>678684.40316666663</v>
      </c>
      <c r="K102" s="117">
        <f t="shared" si="41"/>
        <v>278684.40316666663</v>
      </c>
      <c r="L102" s="117">
        <f t="shared" si="41"/>
        <v>278684.40316666663</v>
      </c>
      <c r="M102" s="117">
        <f t="shared" si="41"/>
        <v>678684.40316666663</v>
      </c>
      <c r="N102" s="117">
        <f t="shared" si="41"/>
        <v>6578684.4031666666</v>
      </c>
      <c r="O102" s="117">
        <f t="shared" si="41"/>
        <v>278684.40316666663</v>
      </c>
      <c r="P102" s="117">
        <f t="shared" si="41"/>
        <v>13061712.798</v>
      </c>
      <c r="Q102" s="117">
        <f t="shared" si="41"/>
        <v>13061712.798</v>
      </c>
      <c r="R102" s="117">
        <f>+R96+R93</f>
        <v>5895550.2000000002</v>
      </c>
      <c r="S102" s="117">
        <f t="shared" si="41"/>
        <v>7166162.5980000002</v>
      </c>
      <c r="V102" s="73"/>
    </row>
    <row r="103" spans="1:22">
      <c r="A103" s="114"/>
      <c r="B103" s="114"/>
    </row>
    <row r="104" spans="1:22">
      <c r="A104" s="114"/>
      <c r="B104" s="114"/>
    </row>
    <row r="105" spans="1:22">
      <c r="A105" s="610" t="s">
        <v>100</v>
      </c>
      <c r="B105" s="611"/>
      <c r="C105" s="612"/>
      <c r="D105" s="607" t="s">
        <v>51</v>
      </c>
      <c r="E105" s="607" t="s">
        <v>52</v>
      </c>
      <c r="F105" s="607" t="s">
        <v>53</v>
      </c>
      <c r="G105" s="607" t="s">
        <v>54</v>
      </c>
      <c r="H105" s="607" t="s">
        <v>55</v>
      </c>
      <c r="I105" s="607" t="s">
        <v>56</v>
      </c>
      <c r="J105" s="607" t="s">
        <v>57</v>
      </c>
      <c r="K105" s="607" t="s">
        <v>58</v>
      </c>
      <c r="L105" s="607" t="s">
        <v>59</v>
      </c>
      <c r="M105" s="607" t="s">
        <v>60</v>
      </c>
      <c r="N105" s="607" t="s">
        <v>61</v>
      </c>
      <c r="O105" s="607" t="s">
        <v>62</v>
      </c>
      <c r="P105" s="607" t="s">
        <v>5629</v>
      </c>
      <c r="Q105" s="607" t="s">
        <v>25</v>
      </c>
      <c r="R105" s="659" t="s">
        <v>236</v>
      </c>
      <c r="S105" s="607" t="s">
        <v>63</v>
      </c>
    </row>
    <row r="106" spans="1:22">
      <c r="A106" s="111" t="s">
        <v>147</v>
      </c>
      <c r="B106" s="110"/>
      <c r="C106" s="94"/>
      <c r="D106" s="117">
        <f t="shared" ref="D106:S106" si="42">+D107</f>
        <v>25000</v>
      </c>
      <c r="E106" s="117">
        <f t="shared" si="42"/>
        <v>25000</v>
      </c>
      <c r="F106" s="117">
        <f t="shared" si="42"/>
        <v>25000</v>
      </c>
      <c r="G106" s="117">
        <f t="shared" si="42"/>
        <v>25000</v>
      </c>
      <c r="H106" s="117">
        <f t="shared" si="42"/>
        <v>25000</v>
      </c>
      <c r="I106" s="117">
        <f t="shared" si="42"/>
        <v>25000</v>
      </c>
      <c r="J106" s="117">
        <f t="shared" si="42"/>
        <v>25000</v>
      </c>
      <c r="K106" s="117">
        <f t="shared" si="42"/>
        <v>25000</v>
      </c>
      <c r="L106" s="117">
        <f t="shared" si="42"/>
        <v>25000</v>
      </c>
      <c r="M106" s="117">
        <f t="shared" si="42"/>
        <v>25000</v>
      </c>
      <c r="N106" s="117">
        <f t="shared" si="42"/>
        <v>25000</v>
      </c>
      <c r="O106" s="117">
        <f t="shared" si="42"/>
        <v>25000</v>
      </c>
      <c r="P106" s="117">
        <f t="shared" si="42"/>
        <v>300000</v>
      </c>
      <c r="Q106" s="117">
        <f t="shared" si="42"/>
        <v>300000</v>
      </c>
      <c r="R106" s="117">
        <f t="shared" si="42"/>
        <v>0</v>
      </c>
      <c r="S106" s="117">
        <f t="shared" si="42"/>
        <v>300000</v>
      </c>
    </row>
    <row r="107" spans="1:22">
      <c r="A107" s="108">
        <v>5135</v>
      </c>
      <c r="B107" s="108">
        <v>35101</v>
      </c>
      <c r="C107" s="109" t="s">
        <v>139</v>
      </c>
      <c r="D107" s="93">
        <v>25000</v>
      </c>
      <c r="E107" s="93">
        <v>25000</v>
      </c>
      <c r="F107" s="93">
        <v>25000</v>
      </c>
      <c r="G107" s="93">
        <v>25000</v>
      </c>
      <c r="H107" s="93">
        <v>25000</v>
      </c>
      <c r="I107" s="93">
        <v>25000</v>
      </c>
      <c r="J107" s="93">
        <v>25000</v>
      </c>
      <c r="K107" s="93">
        <v>25000</v>
      </c>
      <c r="L107" s="93">
        <v>25000</v>
      </c>
      <c r="M107" s="93">
        <v>25000</v>
      </c>
      <c r="N107" s="93">
        <v>25000</v>
      </c>
      <c r="O107" s="93">
        <v>25000</v>
      </c>
      <c r="P107" s="93">
        <f>SUM(D107:O107)</f>
        <v>300000</v>
      </c>
      <c r="Q107" s="93">
        <f>SUM(D107:O107)</f>
        <v>300000</v>
      </c>
      <c r="R107" s="93"/>
      <c r="S107" s="559">
        <f>+Q107-R107</f>
        <v>300000</v>
      </c>
    </row>
    <row r="108" spans="1:22">
      <c r="A108" s="111" t="s">
        <v>157</v>
      </c>
      <c r="B108" s="110"/>
      <c r="C108" s="94"/>
      <c r="D108" s="120">
        <f t="shared" ref="D108:P108" si="43">+D106</f>
        <v>25000</v>
      </c>
      <c r="E108" s="120">
        <f t="shared" si="43"/>
        <v>25000</v>
      </c>
      <c r="F108" s="120">
        <f t="shared" si="43"/>
        <v>25000</v>
      </c>
      <c r="G108" s="120">
        <f t="shared" si="43"/>
        <v>25000</v>
      </c>
      <c r="H108" s="120">
        <f t="shared" si="43"/>
        <v>25000</v>
      </c>
      <c r="I108" s="120">
        <f t="shared" si="43"/>
        <v>25000</v>
      </c>
      <c r="J108" s="120">
        <f t="shared" si="43"/>
        <v>25000</v>
      </c>
      <c r="K108" s="120">
        <f t="shared" si="43"/>
        <v>25000</v>
      </c>
      <c r="L108" s="120">
        <f t="shared" si="43"/>
        <v>25000</v>
      </c>
      <c r="M108" s="120">
        <f t="shared" si="43"/>
        <v>25000</v>
      </c>
      <c r="N108" s="120">
        <f t="shared" si="43"/>
        <v>25000</v>
      </c>
      <c r="O108" s="120">
        <f t="shared" si="43"/>
        <v>25000</v>
      </c>
      <c r="P108" s="120">
        <f t="shared" si="43"/>
        <v>300000</v>
      </c>
      <c r="Q108" s="120">
        <f>+Q106</f>
        <v>300000</v>
      </c>
      <c r="R108" s="120">
        <f>+R106</f>
        <v>0</v>
      </c>
      <c r="S108" s="120">
        <f>+S106</f>
        <v>300000</v>
      </c>
    </row>
    <row r="109" spans="1:22">
      <c r="A109" s="114"/>
      <c r="B109" s="114"/>
    </row>
    <row r="110" spans="1:22">
      <c r="A110" s="613" t="s">
        <v>152</v>
      </c>
      <c r="B110" s="614"/>
      <c r="C110" s="615"/>
      <c r="D110" s="607" t="s">
        <v>51</v>
      </c>
      <c r="E110" s="607" t="s">
        <v>52</v>
      </c>
      <c r="F110" s="607" t="s">
        <v>53</v>
      </c>
      <c r="G110" s="607" t="s">
        <v>54</v>
      </c>
      <c r="H110" s="607" t="s">
        <v>55</v>
      </c>
      <c r="I110" s="607" t="s">
        <v>56</v>
      </c>
      <c r="J110" s="607" t="s">
        <v>57</v>
      </c>
      <c r="K110" s="607" t="s">
        <v>58</v>
      </c>
      <c r="L110" s="607" t="s">
        <v>59</v>
      </c>
      <c r="M110" s="607" t="s">
        <v>60</v>
      </c>
      <c r="N110" s="607" t="s">
        <v>61</v>
      </c>
      <c r="O110" s="607" t="s">
        <v>62</v>
      </c>
      <c r="P110" s="607" t="s">
        <v>5629</v>
      </c>
      <c r="Q110" s="607" t="s">
        <v>25</v>
      </c>
      <c r="R110" s="659" t="s">
        <v>236</v>
      </c>
      <c r="S110" s="607" t="s">
        <v>63</v>
      </c>
    </row>
    <row r="111" spans="1:22">
      <c r="A111" s="111" t="s">
        <v>146</v>
      </c>
      <c r="B111" s="116"/>
      <c r="C111" s="113"/>
      <c r="D111" s="117">
        <f t="shared" ref="D111:S111" si="44">SUM(D112)</f>
        <v>4754.8799999999992</v>
      </c>
      <c r="E111" s="117">
        <f t="shared" si="44"/>
        <v>4754.8799999999992</v>
      </c>
      <c r="F111" s="117">
        <f t="shared" si="44"/>
        <v>4754.8799999999992</v>
      </c>
      <c r="G111" s="117">
        <f t="shared" si="44"/>
        <v>4754.8799999999992</v>
      </c>
      <c r="H111" s="117">
        <f t="shared" si="44"/>
        <v>4754.8799999999992</v>
      </c>
      <c r="I111" s="117">
        <f t="shared" si="44"/>
        <v>4754.8799999999992</v>
      </c>
      <c r="J111" s="117">
        <f t="shared" si="44"/>
        <v>4754.8799999999992</v>
      </c>
      <c r="K111" s="117">
        <f t="shared" si="44"/>
        <v>4754.8799999999992</v>
      </c>
      <c r="L111" s="117">
        <f t="shared" si="44"/>
        <v>4754.8799999999992</v>
      </c>
      <c r="M111" s="117">
        <f t="shared" si="44"/>
        <v>4754.8799999999992</v>
      </c>
      <c r="N111" s="117">
        <f t="shared" si="44"/>
        <v>4754.8799999999992</v>
      </c>
      <c r="O111" s="117">
        <f t="shared" si="44"/>
        <v>4754.8799999999992</v>
      </c>
      <c r="P111" s="120">
        <f t="shared" si="44"/>
        <v>57058.559999999976</v>
      </c>
      <c r="Q111" s="120">
        <f t="shared" si="44"/>
        <v>57058.559999999976</v>
      </c>
      <c r="R111" s="120">
        <f t="shared" si="44"/>
        <v>14400</v>
      </c>
      <c r="S111" s="120">
        <f t="shared" si="44"/>
        <v>42658.559999999976</v>
      </c>
    </row>
    <row r="112" spans="1:22">
      <c r="A112" s="89">
        <v>5126</v>
      </c>
      <c r="B112" s="89">
        <v>26101</v>
      </c>
      <c r="C112" s="90" t="s">
        <v>118</v>
      </c>
      <c r="D112" s="93">
        <v>4754.8799999999992</v>
      </c>
      <c r="E112" s="93">
        <v>4754.8799999999992</v>
      </c>
      <c r="F112" s="93">
        <v>4754.8799999999992</v>
      </c>
      <c r="G112" s="93">
        <v>4754.8799999999992</v>
      </c>
      <c r="H112" s="93">
        <v>4754.8799999999992</v>
      </c>
      <c r="I112" s="93">
        <v>4754.8799999999992</v>
      </c>
      <c r="J112" s="93">
        <v>4754.8799999999992</v>
      </c>
      <c r="K112" s="93">
        <v>4754.8799999999992</v>
      </c>
      <c r="L112" s="93">
        <v>4754.8799999999992</v>
      </c>
      <c r="M112" s="93">
        <v>4754.8799999999992</v>
      </c>
      <c r="N112" s="93">
        <v>4754.8799999999992</v>
      </c>
      <c r="O112" s="93">
        <v>4754.8799999999992</v>
      </c>
      <c r="P112" s="93">
        <f>SUM(D112:O112)</f>
        <v>57058.559999999976</v>
      </c>
      <c r="Q112" s="93">
        <f>SUM(D112:O112)</f>
        <v>57058.559999999976</v>
      </c>
      <c r="R112" s="93">
        <v>14400</v>
      </c>
      <c r="S112" s="559">
        <f>+Q112-R112</f>
        <v>42658.559999999976</v>
      </c>
    </row>
    <row r="113" spans="1:22">
      <c r="A113" s="89"/>
      <c r="B113" s="89"/>
      <c r="C113" s="90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1:22">
      <c r="A114" s="111" t="s">
        <v>147</v>
      </c>
      <c r="B114" s="110"/>
      <c r="C114" s="94"/>
      <c r="D114" s="117">
        <f t="shared" ref="D114:S114" si="45">SUM(D115:D118)</f>
        <v>1214579.7985833334</v>
      </c>
      <c r="E114" s="117">
        <f t="shared" si="45"/>
        <v>114579.75858333334</v>
      </c>
      <c r="F114" s="117">
        <f t="shared" si="45"/>
        <v>114579.75858333334</v>
      </c>
      <c r="G114" s="117">
        <f t="shared" si="45"/>
        <v>414579.75858333334</v>
      </c>
      <c r="H114" s="117">
        <f t="shared" si="45"/>
        <v>164579.75858333329</v>
      </c>
      <c r="I114" s="117">
        <f t="shared" si="45"/>
        <v>114579.75858333334</v>
      </c>
      <c r="J114" s="117">
        <f t="shared" si="45"/>
        <v>414579.75858333334</v>
      </c>
      <c r="K114" s="117">
        <f t="shared" si="45"/>
        <v>114579.75858333334</v>
      </c>
      <c r="L114" s="117">
        <f t="shared" si="45"/>
        <v>114579.75858333334</v>
      </c>
      <c r="M114" s="117">
        <f t="shared" si="45"/>
        <v>414579.75858333334</v>
      </c>
      <c r="N114" s="117">
        <f t="shared" si="45"/>
        <v>114579.75858333334</v>
      </c>
      <c r="O114" s="117">
        <f t="shared" si="45"/>
        <v>114579.75858333334</v>
      </c>
      <c r="P114" s="117">
        <f t="shared" si="45"/>
        <v>3424957.1430000002</v>
      </c>
      <c r="Q114" s="117">
        <f t="shared" si="45"/>
        <v>3424957.1430000002</v>
      </c>
      <c r="R114" s="117">
        <f t="shared" si="45"/>
        <v>1064231.24</v>
      </c>
      <c r="S114" s="117">
        <f t="shared" si="45"/>
        <v>2360725.9030000004</v>
      </c>
    </row>
    <row r="115" spans="1:22">
      <c r="A115" s="108">
        <v>5131</v>
      </c>
      <c r="B115" s="108">
        <v>31101</v>
      </c>
      <c r="C115" s="109" t="s">
        <v>11</v>
      </c>
      <c r="D115" s="93">
        <v>14700</v>
      </c>
      <c r="E115" s="93">
        <v>14700</v>
      </c>
      <c r="F115" s="93">
        <v>14700</v>
      </c>
      <c r="G115" s="93">
        <v>14700</v>
      </c>
      <c r="H115" s="93">
        <v>14700</v>
      </c>
      <c r="I115" s="93">
        <v>14700</v>
      </c>
      <c r="J115" s="93">
        <v>14700</v>
      </c>
      <c r="K115" s="93">
        <v>14700</v>
      </c>
      <c r="L115" s="93">
        <v>14700</v>
      </c>
      <c r="M115" s="93">
        <v>14700</v>
      </c>
      <c r="N115" s="93">
        <v>14700</v>
      </c>
      <c r="O115" s="93">
        <v>14700</v>
      </c>
      <c r="P115" s="93">
        <f t="shared" ref="P115:P118" si="46">SUM(D115:O115)</f>
        <v>176400</v>
      </c>
      <c r="Q115" s="93">
        <f t="shared" ref="Q115:Q118" si="47">SUM(D115:O115)</f>
        <v>176400</v>
      </c>
      <c r="R115" s="93">
        <v>106966.5</v>
      </c>
      <c r="S115" s="559">
        <f>+Q115-R115</f>
        <v>69433.5</v>
      </c>
    </row>
    <row r="116" spans="1:22">
      <c r="A116" s="89">
        <v>5131</v>
      </c>
      <c r="B116" s="89">
        <v>31301</v>
      </c>
      <c r="C116" s="90" t="s">
        <v>22</v>
      </c>
      <c r="D116" s="93">
        <v>300000</v>
      </c>
      <c r="E116" s="93">
        <v>0</v>
      </c>
      <c r="F116" s="93">
        <v>0</v>
      </c>
      <c r="G116" s="93">
        <v>300000</v>
      </c>
      <c r="H116" s="93">
        <v>0</v>
      </c>
      <c r="I116" s="93">
        <v>0</v>
      </c>
      <c r="J116" s="93">
        <v>300000</v>
      </c>
      <c r="K116" s="93">
        <v>0</v>
      </c>
      <c r="L116" s="93">
        <v>0</v>
      </c>
      <c r="M116" s="93">
        <v>300000</v>
      </c>
      <c r="N116" s="93">
        <v>0</v>
      </c>
      <c r="O116" s="93">
        <v>0</v>
      </c>
      <c r="P116" s="93">
        <f t="shared" si="46"/>
        <v>1200000</v>
      </c>
      <c r="Q116" s="93">
        <f t="shared" si="47"/>
        <v>1200000</v>
      </c>
      <c r="R116" s="93">
        <v>20649</v>
      </c>
      <c r="S116" s="559">
        <f>+Q116-R116</f>
        <v>1179351</v>
      </c>
    </row>
    <row r="117" spans="1:22">
      <c r="A117" s="89">
        <v>5135</v>
      </c>
      <c r="B117" s="89">
        <v>35101</v>
      </c>
      <c r="C117" s="90" t="s">
        <v>139</v>
      </c>
      <c r="D117" s="93">
        <v>99879.758583333343</v>
      </c>
      <c r="E117" s="93">
        <v>99879.758583333343</v>
      </c>
      <c r="F117" s="93">
        <v>99879.758583333343</v>
      </c>
      <c r="G117" s="93">
        <v>99879.758583333343</v>
      </c>
      <c r="H117" s="1351">
        <f>99879.7585833333+50000</f>
        <v>149879.75858333329</v>
      </c>
      <c r="I117" s="93">
        <v>99879.758583333343</v>
      </c>
      <c r="J117" s="93">
        <v>99879.758583333343</v>
      </c>
      <c r="K117" s="93">
        <v>99879.758583333343</v>
      </c>
      <c r="L117" s="93">
        <v>99879.758583333343</v>
      </c>
      <c r="M117" s="93">
        <v>99879.758583333343</v>
      </c>
      <c r="N117" s="93">
        <v>99879.758583333343</v>
      </c>
      <c r="O117" s="93">
        <v>99879.758583333343</v>
      </c>
      <c r="P117" s="93">
        <f t="shared" si="46"/>
        <v>1248557.1030000001</v>
      </c>
      <c r="Q117" s="93">
        <f t="shared" si="47"/>
        <v>1248557.1030000001</v>
      </c>
      <c r="R117" s="93">
        <v>468823.27</v>
      </c>
      <c r="S117" s="559">
        <f>+Q117-R117</f>
        <v>779733.8330000001</v>
      </c>
    </row>
    <row r="118" spans="1:22">
      <c r="A118" s="106">
        <v>5135</v>
      </c>
      <c r="B118" s="106">
        <v>35701</v>
      </c>
      <c r="C118" s="107" t="s">
        <v>140</v>
      </c>
      <c r="D118" s="42">
        <v>800000.04000000015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93">
        <f t="shared" si="46"/>
        <v>800000.04000000015</v>
      </c>
      <c r="Q118" s="93">
        <f t="shared" si="47"/>
        <v>800000.04000000015</v>
      </c>
      <c r="R118" s="93">
        <v>467792.47</v>
      </c>
      <c r="S118" s="559">
        <f>+Q118-R118</f>
        <v>332207.57000000018</v>
      </c>
    </row>
    <row r="119" spans="1:22">
      <c r="A119" s="111" t="s">
        <v>158</v>
      </c>
      <c r="B119" s="110"/>
      <c r="C119" s="94"/>
      <c r="D119" s="120">
        <f>+D114+D111</f>
        <v>1219334.6785833333</v>
      </c>
      <c r="E119" s="120">
        <f t="shared" ref="E119:S119" si="48">+E114+E111</f>
        <v>119334.63858333335</v>
      </c>
      <c r="F119" s="120">
        <f t="shared" si="48"/>
        <v>119334.63858333335</v>
      </c>
      <c r="G119" s="120">
        <f t="shared" si="48"/>
        <v>419334.63858333335</v>
      </c>
      <c r="H119" s="120">
        <f t="shared" si="48"/>
        <v>169334.63858333329</v>
      </c>
      <c r="I119" s="120">
        <f t="shared" si="48"/>
        <v>119334.63858333335</v>
      </c>
      <c r="J119" s="120">
        <f t="shared" si="48"/>
        <v>419334.63858333335</v>
      </c>
      <c r="K119" s="120">
        <f t="shared" si="48"/>
        <v>119334.63858333335</v>
      </c>
      <c r="L119" s="120">
        <f t="shared" si="48"/>
        <v>119334.63858333335</v>
      </c>
      <c r="M119" s="120">
        <f t="shared" si="48"/>
        <v>419334.63858333335</v>
      </c>
      <c r="N119" s="120">
        <f t="shared" si="48"/>
        <v>119334.63858333335</v>
      </c>
      <c r="O119" s="120">
        <f t="shared" si="48"/>
        <v>119334.63858333335</v>
      </c>
      <c r="P119" s="120">
        <f t="shared" si="48"/>
        <v>3482015.7030000002</v>
      </c>
      <c r="Q119" s="120">
        <f t="shared" si="48"/>
        <v>3482015.7030000002</v>
      </c>
      <c r="R119" s="120">
        <f t="shared" si="48"/>
        <v>1078631.24</v>
      </c>
      <c r="S119" s="120">
        <f t="shared" si="48"/>
        <v>2403384.4630000005</v>
      </c>
    </row>
    <row r="120" spans="1:22">
      <c r="A120" s="115"/>
      <c r="B120" s="114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22">
      <c r="A121" s="610" t="s">
        <v>159</v>
      </c>
      <c r="B121" s="611"/>
      <c r="C121" s="612"/>
      <c r="D121" s="607" t="s">
        <v>51</v>
      </c>
      <c r="E121" s="607" t="s">
        <v>52</v>
      </c>
      <c r="F121" s="607" t="s">
        <v>53</v>
      </c>
      <c r="G121" s="607" t="s">
        <v>54</v>
      </c>
      <c r="H121" s="607" t="s">
        <v>55</v>
      </c>
      <c r="I121" s="607" t="s">
        <v>56</v>
      </c>
      <c r="J121" s="607" t="s">
        <v>57</v>
      </c>
      <c r="K121" s="607" t="s">
        <v>58</v>
      </c>
      <c r="L121" s="607" t="s">
        <v>59</v>
      </c>
      <c r="M121" s="607" t="s">
        <v>60</v>
      </c>
      <c r="N121" s="607" t="s">
        <v>61</v>
      </c>
      <c r="O121" s="607" t="s">
        <v>62</v>
      </c>
      <c r="P121" s="607" t="s">
        <v>5629</v>
      </c>
      <c r="Q121" s="607" t="s">
        <v>25</v>
      </c>
      <c r="R121" s="659" t="s">
        <v>236</v>
      </c>
      <c r="S121" s="607" t="s">
        <v>63</v>
      </c>
    </row>
    <row r="122" spans="1:22">
      <c r="A122" s="111" t="s">
        <v>146</v>
      </c>
      <c r="B122" s="116"/>
      <c r="C122" s="113"/>
      <c r="D122" s="117">
        <f t="shared" ref="D122:S122" si="49">SUM(D123)</f>
        <v>4655.04</v>
      </c>
      <c r="E122" s="117">
        <f t="shared" si="49"/>
        <v>4655.04</v>
      </c>
      <c r="F122" s="117">
        <f t="shared" si="49"/>
        <v>4655.04</v>
      </c>
      <c r="G122" s="117">
        <f t="shared" si="49"/>
        <v>4655.04</v>
      </c>
      <c r="H122" s="117">
        <f t="shared" si="49"/>
        <v>4655.04</v>
      </c>
      <c r="I122" s="117">
        <f t="shared" si="49"/>
        <v>4655.04</v>
      </c>
      <c r="J122" s="117">
        <f t="shared" si="49"/>
        <v>4655.04</v>
      </c>
      <c r="K122" s="117">
        <f t="shared" si="49"/>
        <v>4655.04</v>
      </c>
      <c r="L122" s="117">
        <f t="shared" si="49"/>
        <v>4655.04</v>
      </c>
      <c r="M122" s="117">
        <f t="shared" si="49"/>
        <v>4655.04</v>
      </c>
      <c r="N122" s="117">
        <f t="shared" si="49"/>
        <v>4655.04</v>
      </c>
      <c r="O122" s="117">
        <f t="shared" si="49"/>
        <v>4655.04</v>
      </c>
      <c r="P122" s="120">
        <f t="shared" si="49"/>
        <v>55860.480000000003</v>
      </c>
      <c r="Q122" s="120">
        <f t="shared" si="49"/>
        <v>55860.480000000003</v>
      </c>
      <c r="R122" s="120">
        <f t="shared" si="49"/>
        <v>32200</v>
      </c>
      <c r="S122" s="120">
        <f t="shared" si="49"/>
        <v>23660.480000000003</v>
      </c>
    </row>
    <row r="123" spans="1:22">
      <c r="A123" s="89">
        <v>5126</v>
      </c>
      <c r="B123" s="89">
        <v>26101</v>
      </c>
      <c r="C123" s="90" t="s">
        <v>118</v>
      </c>
      <c r="D123" s="93">
        <v>4655.04</v>
      </c>
      <c r="E123" s="93">
        <v>4655.04</v>
      </c>
      <c r="F123" s="93">
        <v>4655.04</v>
      </c>
      <c r="G123" s="93">
        <v>4655.04</v>
      </c>
      <c r="H123" s="93">
        <v>4655.04</v>
      </c>
      <c r="I123" s="93">
        <v>4655.04</v>
      </c>
      <c r="J123" s="93">
        <v>4655.04</v>
      </c>
      <c r="K123" s="93">
        <v>4655.04</v>
      </c>
      <c r="L123" s="93">
        <v>4655.04</v>
      </c>
      <c r="M123" s="93">
        <v>4655.04</v>
      </c>
      <c r="N123" s="93">
        <v>4655.04</v>
      </c>
      <c r="O123" s="93">
        <v>4655.04</v>
      </c>
      <c r="P123" s="93">
        <f>SUM(D123:O123)</f>
        <v>55860.480000000003</v>
      </c>
      <c r="Q123" s="93">
        <f>SUM(D123:O123)</f>
        <v>55860.480000000003</v>
      </c>
      <c r="R123" s="93">
        <v>32200</v>
      </c>
      <c r="S123" s="559">
        <f>+Q123-R123</f>
        <v>23660.480000000003</v>
      </c>
    </row>
    <row r="124" spans="1:22">
      <c r="A124" s="89"/>
      <c r="B124" s="89"/>
      <c r="C124" s="90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1:22">
      <c r="A125" s="111" t="s">
        <v>147</v>
      </c>
      <c r="B125" s="116"/>
      <c r="C125" s="113"/>
      <c r="D125" s="117">
        <f t="shared" ref="D125:S125" si="50">SUM(D126:D128)</f>
        <v>195020.27523333332</v>
      </c>
      <c r="E125" s="117">
        <f t="shared" si="50"/>
        <v>195020.27523333332</v>
      </c>
      <c r="F125" s="117">
        <f t="shared" si="50"/>
        <v>195020.27523333332</v>
      </c>
      <c r="G125" s="117">
        <f t="shared" si="50"/>
        <v>195020.27523333332</v>
      </c>
      <c r="H125" s="117">
        <f t="shared" si="50"/>
        <v>195020.27523333332</v>
      </c>
      <c r="I125" s="117">
        <f t="shared" si="50"/>
        <v>195020.27523333332</v>
      </c>
      <c r="J125" s="117">
        <f t="shared" si="50"/>
        <v>195020.27523333332</v>
      </c>
      <c r="K125" s="117">
        <f t="shared" si="50"/>
        <v>195020.27523333332</v>
      </c>
      <c r="L125" s="117">
        <f t="shared" si="50"/>
        <v>195020.27523333332</v>
      </c>
      <c r="M125" s="117">
        <f t="shared" si="50"/>
        <v>195020.27523333332</v>
      </c>
      <c r="N125" s="117">
        <f t="shared" si="50"/>
        <v>195020.27523333332</v>
      </c>
      <c r="O125" s="117">
        <f t="shared" si="50"/>
        <v>195020.27523333332</v>
      </c>
      <c r="P125" s="117">
        <f t="shared" si="50"/>
        <v>2340243.3028000002</v>
      </c>
      <c r="Q125" s="117">
        <f t="shared" si="50"/>
        <v>2340243.3028000002</v>
      </c>
      <c r="R125" s="117">
        <f t="shared" si="50"/>
        <v>1605670.65</v>
      </c>
      <c r="S125" s="117">
        <f t="shared" si="50"/>
        <v>734572.65280000027</v>
      </c>
    </row>
    <row r="126" spans="1:22">
      <c r="A126" s="89">
        <v>5131</v>
      </c>
      <c r="B126" s="89">
        <v>31101</v>
      </c>
      <c r="C126" s="90" t="s">
        <v>11</v>
      </c>
      <c r="D126" s="93">
        <v>47659.6224</v>
      </c>
      <c r="E126" s="93">
        <v>47659.6224</v>
      </c>
      <c r="F126" s="93">
        <v>47659.6224</v>
      </c>
      <c r="G126" s="93">
        <v>47659.6224</v>
      </c>
      <c r="H126" s="93">
        <v>47659.6224</v>
      </c>
      <c r="I126" s="93">
        <v>47659.6224</v>
      </c>
      <c r="J126" s="93">
        <v>47659.6224</v>
      </c>
      <c r="K126" s="93">
        <v>47659.6224</v>
      </c>
      <c r="L126" s="93">
        <v>47659.6224</v>
      </c>
      <c r="M126" s="93">
        <v>47659.6224</v>
      </c>
      <c r="N126" s="93">
        <v>47659.6224</v>
      </c>
      <c r="O126" s="93">
        <v>47659.6224</v>
      </c>
      <c r="P126" s="93">
        <f t="shared" ref="P126:P128" si="51">SUM(D126:O126)</f>
        <v>571915.46880000003</v>
      </c>
      <c r="Q126" s="93">
        <f t="shared" ref="Q126:Q128" si="52">SUM(D126:O126)</f>
        <v>571915.46880000003</v>
      </c>
      <c r="R126" s="93">
        <v>255908.93</v>
      </c>
      <c r="S126" s="559">
        <f>+Q126-R126</f>
        <v>316006.53880000004</v>
      </c>
    </row>
    <row r="127" spans="1:22">
      <c r="A127" s="89">
        <v>5133</v>
      </c>
      <c r="B127" s="89">
        <v>33801</v>
      </c>
      <c r="C127" s="90" t="s">
        <v>138</v>
      </c>
      <c r="D127" s="93">
        <v>85000</v>
      </c>
      <c r="E127" s="93">
        <v>85000</v>
      </c>
      <c r="F127" s="93">
        <v>85000</v>
      </c>
      <c r="G127" s="93">
        <v>85000</v>
      </c>
      <c r="H127" s="93">
        <v>85000</v>
      </c>
      <c r="I127" s="93">
        <v>85000</v>
      </c>
      <c r="J127" s="93">
        <v>85000</v>
      </c>
      <c r="K127" s="93">
        <v>85000</v>
      </c>
      <c r="L127" s="93">
        <v>85000</v>
      </c>
      <c r="M127" s="93">
        <v>85000</v>
      </c>
      <c r="N127" s="93">
        <v>85000</v>
      </c>
      <c r="O127" s="93">
        <v>85000</v>
      </c>
      <c r="P127" s="93">
        <f t="shared" si="51"/>
        <v>1020000</v>
      </c>
      <c r="Q127" s="93">
        <f t="shared" si="52"/>
        <v>1020000</v>
      </c>
      <c r="R127" s="93">
        <v>938500</v>
      </c>
      <c r="S127" s="559">
        <f>+Q127-R127</f>
        <v>81500</v>
      </c>
    </row>
    <row r="128" spans="1:22">
      <c r="A128" s="89">
        <v>5135</v>
      </c>
      <c r="B128" s="89">
        <v>35101</v>
      </c>
      <c r="C128" s="90" t="s">
        <v>139</v>
      </c>
      <c r="D128" s="93">
        <v>62360.652833333334</v>
      </c>
      <c r="E128" s="93">
        <v>62360.652833333334</v>
      </c>
      <c r="F128" s="93">
        <v>62360.652833333334</v>
      </c>
      <c r="G128" s="93">
        <v>62360.652833333334</v>
      </c>
      <c r="H128" s="93">
        <v>62360.652833333334</v>
      </c>
      <c r="I128" s="93">
        <v>62360.652833333334</v>
      </c>
      <c r="J128" s="93">
        <v>62360.652833333334</v>
      </c>
      <c r="K128" s="93">
        <v>62360.652833333334</v>
      </c>
      <c r="L128" s="93">
        <v>62360.652833333334</v>
      </c>
      <c r="M128" s="93">
        <v>62360.652833333334</v>
      </c>
      <c r="N128" s="93">
        <v>62360.652833333334</v>
      </c>
      <c r="O128" s="93">
        <v>62360.652833333334</v>
      </c>
      <c r="P128" s="93">
        <f t="shared" si="51"/>
        <v>748327.83400000015</v>
      </c>
      <c r="Q128" s="93">
        <f t="shared" si="52"/>
        <v>748327.83400000015</v>
      </c>
      <c r="R128" s="93">
        <v>411261.72</v>
      </c>
      <c r="S128" s="559">
        <f>+Q128-R128</f>
        <v>337066.11400000018</v>
      </c>
      <c r="V128" s="124"/>
    </row>
    <row r="129" spans="1:21">
      <c r="A129" s="111" t="s">
        <v>215</v>
      </c>
      <c r="B129" s="110"/>
      <c r="C129" s="94"/>
      <c r="D129" s="117">
        <f>+D125+D122</f>
        <v>199675.31523333333</v>
      </c>
      <c r="E129" s="117">
        <f t="shared" ref="E129:S129" si="53">+E125+E122</f>
        <v>199675.31523333333</v>
      </c>
      <c r="F129" s="117">
        <f t="shared" si="53"/>
        <v>199675.31523333333</v>
      </c>
      <c r="G129" s="117">
        <f t="shared" si="53"/>
        <v>199675.31523333333</v>
      </c>
      <c r="H129" s="117">
        <f t="shared" si="53"/>
        <v>199675.31523333333</v>
      </c>
      <c r="I129" s="117">
        <f t="shared" si="53"/>
        <v>199675.31523333333</v>
      </c>
      <c r="J129" s="117">
        <f t="shared" si="53"/>
        <v>199675.31523333333</v>
      </c>
      <c r="K129" s="117">
        <f t="shared" si="53"/>
        <v>199675.31523333333</v>
      </c>
      <c r="L129" s="117">
        <f t="shared" si="53"/>
        <v>199675.31523333333</v>
      </c>
      <c r="M129" s="117">
        <f t="shared" si="53"/>
        <v>199675.31523333333</v>
      </c>
      <c r="N129" s="117">
        <f t="shared" si="53"/>
        <v>199675.31523333333</v>
      </c>
      <c r="O129" s="117">
        <f t="shared" si="53"/>
        <v>199675.31523333333</v>
      </c>
      <c r="P129" s="117">
        <f t="shared" si="53"/>
        <v>2396103.7828000002</v>
      </c>
      <c r="Q129" s="117">
        <f t="shared" si="53"/>
        <v>2396103.7828000002</v>
      </c>
      <c r="R129" s="117">
        <f t="shared" si="53"/>
        <v>1637870.65</v>
      </c>
      <c r="S129" s="117">
        <f t="shared" si="53"/>
        <v>758233.13280000025</v>
      </c>
    </row>
    <row r="130" spans="1:21" s="775" customFormat="1">
      <c r="A130" s="1354"/>
      <c r="B130" s="1355"/>
      <c r="C130" s="1356"/>
      <c r="D130" s="1357"/>
      <c r="E130" s="1357"/>
      <c r="F130" s="1357"/>
      <c r="G130" s="1357"/>
      <c r="H130" s="1357"/>
      <c r="I130" s="1357"/>
      <c r="J130" s="1357"/>
      <c r="K130" s="1357"/>
      <c r="L130" s="1357"/>
      <c r="M130" s="1357"/>
      <c r="N130" s="1357"/>
      <c r="O130" s="1357"/>
      <c r="P130" s="1357"/>
      <c r="Q130" s="1357"/>
      <c r="R130" s="1357"/>
      <c r="S130" s="1357"/>
    </row>
    <row r="131" spans="1:21">
      <c r="A131" s="610" t="s">
        <v>6309</v>
      </c>
      <c r="B131" s="611"/>
      <c r="C131" s="612"/>
      <c r="D131" s="607" t="s">
        <v>51</v>
      </c>
      <c r="E131" s="607" t="s">
        <v>52</v>
      </c>
      <c r="F131" s="607" t="s">
        <v>53</v>
      </c>
      <c r="G131" s="607" t="s">
        <v>54</v>
      </c>
      <c r="H131" s="607" t="s">
        <v>55</v>
      </c>
      <c r="I131" s="607" t="s">
        <v>56</v>
      </c>
      <c r="J131" s="607" t="s">
        <v>57</v>
      </c>
      <c r="K131" s="607" t="s">
        <v>58</v>
      </c>
      <c r="L131" s="607" t="s">
        <v>59</v>
      </c>
      <c r="M131" s="607" t="s">
        <v>60</v>
      </c>
      <c r="N131" s="607" t="s">
        <v>61</v>
      </c>
      <c r="O131" s="607" t="s">
        <v>62</v>
      </c>
      <c r="P131" s="607" t="s">
        <v>5629</v>
      </c>
      <c r="Q131" s="607" t="s">
        <v>25</v>
      </c>
      <c r="R131" s="659" t="s">
        <v>236</v>
      </c>
      <c r="S131" s="607" t="s">
        <v>63</v>
      </c>
    </row>
    <row r="132" spans="1:21">
      <c r="A132" s="111" t="s">
        <v>147</v>
      </c>
      <c r="B132" s="116"/>
      <c r="C132" s="113"/>
      <c r="D132" s="117">
        <f t="shared" ref="D132:S132" si="54">SUM(D133:D140)</f>
        <v>0</v>
      </c>
      <c r="E132" s="117">
        <f t="shared" si="54"/>
        <v>0</v>
      </c>
      <c r="F132" s="117">
        <f t="shared" si="54"/>
        <v>0</v>
      </c>
      <c r="G132" s="117">
        <f t="shared" si="54"/>
        <v>0</v>
      </c>
      <c r="H132" s="117">
        <f t="shared" si="54"/>
        <v>0</v>
      </c>
      <c r="I132" s="117">
        <f t="shared" si="54"/>
        <v>0</v>
      </c>
      <c r="J132" s="117">
        <f t="shared" si="54"/>
        <v>1145500</v>
      </c>
      <c r="K132" s="117">
        <f t="shared" si="54"/>
        <v>0</v>
      </c>
      <c r="L132" s="117">
        <f t="shared" si="54"/>
        <v>0</v>
      </c>
      <c r="M132" s="117">
        <f t="shared" si="54"/>
        <v>0</v>
      </c>
      <c r="N132" s="117">
        <f t="shared" si="54"/>
        <v>0</v>
      </c>
      <c r="O132" s="117">
        <f t="shared" si="54"/>
        <v>0</v>
      </c>
      <c r="P132" s="120">
        <f t="shared" si="54"/>
        <v>1145500</v>
      </c>
      <c r="Q132" s="120">
        <f t="shared" si="54"/>
        <v>1145500</v>
      </c>
      <c r="R132" s="120">
        <f t="shared" si="54"/>
        <v>341788.39</v>
      </c>
      <c r="S132" s="120">
        <f t="shared" si="54"/>
        <v>803711.6100000001</v>
      </c>
    </row>
    <row r="133" spans="1:21">
      <c r="A133" s="89">
        <v>5131</v>
      </c>
      <c r="B133" s="89">
        <v>31101</v>
      </c>
      <c r="C133" s="90" t="s">
        <v>11</v>
      </c>
      <c r="D133" s="93"/>
      <c r="E133" s="93"/>
      <c r="F133" s="93"/>
      <c r="G133" s="93"/>
      <c r="H133" s="93"/>
      <c r="I133" s="93"/>
      <c r="J133" s="1351">
        <v>240000</v>
      </c>
      <c r="K133" s="93"/>
      <c r="L133" s="93"/>
      <c r="M133" s="93"/>
      <c r="N133" s="93"/>
      <c r="O133" s="93"/>
      <c r="P133" s="93">
        <f t="shared" ref="P133:P139" si="55">SUM(D133:O133)</f>
        <v>240000</v>
      </c>
      <c r="Q133" s="93">
        <f t="shared" ref="Q133:Q140" si="56">SUM(D133:O133)</f>
        <v>240000</v>
      </c>
      <c r="R133" s="93"/>
      <c r="S133" s="559">
        <f t="shared" ref="S133:S139" si="57">+Q133-R133</f>
        <v>240000</v>
      </c>
    </row>
    <row r="134" spans="1:21">
      <c r="A134" s="89">
        <v>5131</v>
      </c>
      <c r="B134" s="89">
        <v>31301</v>
      </c>
      <c r="C134" s="90" t="s">
        <v>22</v>
      </c>
      <c r="D134" s="93"/>
      <c r="E134" s="93"/>
      <c r="F134" s="93"/>
      <c r="G134" s="93"/>
      <c r="H134" s="93"/>
      <c r="I134" s="93"/>
      <c r="J134" s="1351">
        <v>35000</v>
      </c>
      <c r="K134" s="93"/>
      <c r="L134" s="93"/>
      <c r="M134" s="93"/>
      <c r="N134" s="93"/>
      <c r="O134" s="93"/>
      <c r="P134" s="93">
        <f t="shared" si="55"/>
        <v>35000</v>
      </c>
      <c r="Q134" s="93">
        <f t="shared" si="56"/>
        <v>35000</v>
      </c>
      <c r="R134" s="93">
        <v>4634.13</v>
      </c>
      <c r="S134" s="559">
        <f t="shared" si="57"/>
        <v>30365.87</v>
      </c>
    </row>
    <row r="135" spans="1:21">
      <c r="A135" s="89">
        <v>5131</v>
      </c>
      <c r="B135" s="89">
        <v>31401</v>
      </c>
      <c r="C135" s="90" t="s">
        <v>119</v>
      </c>
      <c r="D135" s="93"/>
      <c r="E135" s="93"/>
      <c r="F135" s="93"/>
      <c r="G135" s="93"/>
      <c r="H135" s="93"/>
      <c r="I135" s="93"/>
      <c r="J135" s="1351">
        <v>60000</v>
      </c>
      <c r="K135" s="93"/>
      <c r="L135" s="93"/>
      <c r="M135" s="93"/>
      <c r="N135" s="93"/>
      <c r="O135" s="93"/>
      <c r="P135" s="93">
        <f t="shared" ref="P135:P136" si="58">SUM(D135:O135)</f>
        <v>60000</v>
      </c>
      <c r="Q135" s="93">
        <f t="shared" si="56"/>
        <v>60000</v>
      </c>
      <c r="R135" s="93"/>
      <c r="S135" s="559">
        <f t="shared" ref="S135:S136" si="59">+Q135-R135</f>
        <v>60000</v>
      </c>
    </row>
    <row r="136" spans="1:21">
      <c r="A136" s="89">
        <v>5133</v>
      </c>
      <c r="B136" s="89">
        <v>33301</v>
      </c>
      <c r="C136" s="90" t="s">
        <v>6310</v>
      </c>
      <c r="D136" s="93"/>
      <c r="E136" s="93"/>
      <c r="F136" s="93"/>
      <c r="G136" s="93"/>
      <c r="H136" s="1351"/>
      <c r="I136" s="93"/>
      <c r="J136" s="1351">
        <v>7500</v>
      </c>
      <c r="K136" s="93"/>
      <c r="L136" s="93"/>
      <c r="M136" s="93"/>
      <c r="N136" s="93"/>
      <c r="O136" s="93"/>
      <c r="P136" s="93">
        <f t="shared" si="58"/>
        <v>7500</v>
      </c>
      <c r="Q136" s="93">
        <f t="shared" si="56"/>
        <v>7500</v>
      </c>
      <c r="R136" s="93"/>
      <c r="S136" s="559">
        <f t="shared" si="59"/>
        <v>7500</v>
      </c>
    </row>
    <row r="137" spans="1:21">
      <c r="A137" s="89">
        <v>5133</v>
      </c>
      <c r="B137" s="89">
        <v>33801</v>
      </c>
      <c r="C137" s="90" t="s">
        <v>138</v>
      </c>
      <c r="D137" s="93"/>
      <c r="E137" s="93"/>
      <c r="F137" s="93"/>
      <c r="G137" s="93"/>
      <c r="H137" s="1351"/>
      <c r="I137" s="93"/>
      <c r="J137" s="1351">
        <v>480000</v>
      </c>
      <c r="K137" s="93"/>
      <c r="L137" s="93"/>
      <c r="M137" s="93"/>
      <c r="N137" s="93"/>
      <c r="O137" s="93"/>
      <c r="P137" s="93">
        <f t="shared" si="55"/>
        <v>480000</v>
      </c>
      <c r="Q137" s="93">
        <f t="shared" si="56"/>
        <v>480000</v>
      </c>
      <c r="R137" s="93">
        <v>240000</v>
      </c>
      <c r="S137" s="559">
        <f t="shared" si="57"/>
        <v>240000</v>
      </c>
    </row>
    <row r="138" spans="1:21">
      <c r="A138" s="89">
        <v>5134</v>
      </c>
      <c r="B138" s="89">
        <v>34501</v>
      </c>
      <c r="C138" s="90" t="s">
        <v>127</v>
      </c>
      <c r="D138" s="93"/>
      <c r="E138" s="93"/>
      <c r="F138" s="93"/>
      <c r="G138" s="93"/>
      <c r="H138" s="93"/>
      <c r="I138" s="93"/>
      <c r="J138" s="1351">
        <v>78000</v>
      </c>
      <c r="K138" s="93"/>
      <c r="L138" s="93"/>
      <c r="M138" s="93"/>
      <c r="N138" s="93"/>
      <c r="O138" s="93"/>
      <c r="P138" s="93">
        <f t="shared" si="55"/>
        <v>78000</v>
      </c>
      <c r="Q138" s="93">
        <f t="shared" si="56"/>
        <v>78000</v>
      </c>
      <c r="R138" s="93">
        <v>56719.32</v>
      </c>
      <c r="S138" s="559">
        <f t="shared" si="57"/>
        <v>21280.68</v>
      </c>
    </row>
    <row r="139" spans="1:21">
      <c r="A139" s="89">
        <v>5135</v>
      </c>
      <c r="B139" s="89">
        <v>35101</v>
      </c>
      <c r="C139" s="90" t="s">
        <v>139</v>
      </c>
      <c r="D139" s="93"/>
      <c r="E139" s="93"/>
      <c r="F139" s="93"/>
      <c r="G139" s="93"/>
      <c r="H139" s="1351"/>
      <c r="I139" s="93"/>
      <c r="J139" s="1351">
        <v>65000</v>
      </c>
      <c r="K139" s="93"/>
      <c r="L139" s="93"/>
      <c r="M139" s="93"/>
      <c r="N139" s="93"/>
      <c r="O139" s="93"/>
      <c r="P139" s="93">
        <f t="shared" si="55"/>
        <v>65000</v>
      </c>
      <c r="Q139" s="93">
        <f t="shared" si="56"/>
        <v>65000</v>
      </c>
      <c r="R139" s="93">
        <v>25076.37</v>
      </c>
      <c r="S139" s="559">
        <f t="shared" si="57"/>
        <v>39923.630000000005</v>
      </c>
    </row>
    <row r="140" spans="1:21">
      <c r="A140" s="89">
        <v>5135</v>
      </c>
      <c r="B140" s="89">
        <v>35801</v>
      </c>
      <c r="C140" s="90" t="s">
        <v>6311</v>
      </c>
      <c r="D140" s="93"/>
      <c r="E140" s="93"/>
      <c r="F140" s="93"/>
      <c r="G140" s="93"/>
      <c r="H140" s="1351"/>
      <c r="I140" s="93"/>
      <c r="J140" s="1351">
        <v>180000</v>
      </c>
      <c r="K140" s="93"/>
      <c r="L140" s="93"/>
      <c r="M140" s="93"/>
      <c r="N140" s="93"/>
      <c r="O140" s="93"/>
      <c r="P140" s="93">
        <f t="shared" ref="P140" si="60">SUM(D140:O140)</f>
        <v>180000</v>
      </c>
      <c r="Q140" s="93">
        <f t="shared" si="56"/>
        <v>180000</v>
      </c>
      <c r="R140" s="93">
        <v>15358.57</v>
      </c>
      <c r="S140" s="559">
        <f t="shared" ref="S140" si="61">+Q140-R140</f>
        <v>164641.43</v>
      </c>
    </row>
    <row r="141" spans="1:21">
      <c r="A141" s="563" t="s">
        <v>6312</v>
      </c>
      <c r="B141" s="110"/>
      <c r="C141" s="94"/>
      <c r="D141" s="120">
        <f>+D132</f>
        <v>0</v>
      </c>
      <c r="E141" s="120">
        <f t="shared" ref="E141:S141" si="62">+E132</f>
        <v>0</v>
      </c>
      <c r="F141" s="120">
        <f t="shared" si="62"/>
        <v>0</v>
      </c>
      <c r="G141" s="120">
        <f t="shared" si="62"/>
        <v>0</v>
      </c>
      <c r="H141" s="120">
        <f t="shared" si="62"/>
        <v>0</v>
      </c>
      <c r="I141" s="120">
        <f t="shared" si="62"/>
        <v>0</v>
      </c>
      <c r="J141" s="120">
        <f t="shared" si="62"/>
        <v>1145500</v>
      </c>
      <c r="K141" s="120">
        <f t="shared" si="62"/>
        <v>0</v>
      </c>
      <c r="L141" s="120">
        <f t="shared" si="62"/>
        <v>0</v>
      </c>
      <c r="M141" s="120">
        <f t="shared" si="62"/>
        <v>0</v>
      </c>
      <c r="N141" s="120">
        <f t="shared" si="62"/>
        <v>0</v>
      </c>
      <c r="O141" s="120">
        <f t="shared" si="62"/>
        <v>0</v>
      </c>
      <c r="P141" s="120">
        <f t="shared" si="62"/>
        <v>1145500</v>
      </c>
      <c r="Q141" s="120">
        <f t="shared" si="62"/>
        <v>1145500</v>
      </c>
      <c r="R141" s="120">
        <f t="shared" si="62"/>
        <v>341788.39</v>
      </c>
      <c r="S141" s="120">
        <f t="shared" si="62"/>
        <v>803711.6100000001</v>
      </c>
    </row>
    <row r="142" spans="1:21">
      <c r="A142" s="115"/>
      <c r="B142" s="11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1:21">
      <c r="A143" s="111" t="s">
        <v>8</v>
      </c>
      <c r="B143" s="110"/>
      <c r="C143" s="94"/>
      <c r="D143" s="117">
        <f>+D119+D108+D102+D89+D77+D129+D141</f>
        <v>25299140.029066671</v>
      </c>
      <c r="E143" s="117">
        <f t="shared" ref="E143:P143" si="63">+E119+E108+E102+E89+E77+E129+E141</f>
        <v>2299140.1090666666</v>
      </c>
      <c r="F143" s="117">
        <f t="shared" si="63"/>
        <v>2299140.1090666666</v>
      </c>
      <c r="G143" s="117">
        <f t="shared" si="63"/>
        <v>17299140.109066669</v>
      </c>
      <c r="H143" s="117">
        <f t="shared" si="63"/>
        <v>3337130.1090666666</v>
      </c>
      <c r="I143" s="117">
        <f t="shared" si="63"/>
        <v>2299140.1090666666</v>
      </c>
      <c r="J143" s="117">
        <f t="shared" si="63"/>
        <v>18944640.109066669</v>
      </c>
      <c r="K143" s="117">
        <f t="shared" si="63"/>
        <v>2299140.1090666666</v>
      </c>
      <c r="L143" s="117">
        <f t="shared" si="63"/>
        <v>2299140.1090666666</v>
      </c>
      <c r="M143" s="117">
        <f t="shared" si="63"/>
        <v>17299140.109066669</v>
      </c>
      <c r="N143" s="117">
        <f t="shared" si="63"/>
        <v>2299140.1090666666</v>
      </c>
      <c r="O143" s="117">
        <f t="shared" si="63"/>
        <v>2299140.1090666666</v>
      </c>
      <c r="P143" s="117">
        <f t="shared" si="63"/>
        <v>98273171.228800014</v>
      </c>
      <c r="Q143" s="117">
        <f t="shared" ref="Q143:S143" si="64">+Q119+Q108+Q102+Q89+Q77+Q129+Q141</f>
        <v>98273171.228800014</v>
      </c>
      <c r="R143" s="117">
        <f>+R119+R108+R102+R89+R77+R129+R141</f>
        <v>27911275.870000001</v>
      </c>
      <c r="S143" s="117">
        <f t="shared" si="64"/>
        <v>70361895.358799994</v>
      </c>
      <c r="U143" s="727"/>
    </row>
    <row r="145" spans="1:22" ht="15">
      <c r="A145" s="616" t="s">
        <v>102</v>
      </c>
      <c r="B145" s="616"/>
      <c r="C145" s="616"/>
      <c r="D145" s="617">
        <f t="shared" ref="D145:S145" si="65">+D143+D59</f>
        <v>33771006.547041416</v>
      </c>
      <c r="E145" s="617">
        <f t="shared" si="65"/>
        <v>4983267.9870414156</v>
      </c>
      <c r="F145" s="617">
        <f t="shared" si="65"/>
        <v>4557277.9870414156</v>
      </c>
      <c r="G145" s="617">
        <f t="shared" si="65"/>
        <v>22632319.667041421</v>
      </c>
      <c r="H145" s="617">
        <f t="shared" si="65"/>
        <v>6155895.9870414156</v>
      </c>
      <c r="I145" s="617">
        <f t="shared" si="65"/>
        <v>4644867.6620414164</v>
      </c>
      <c r="J145" s="617">
        <f t="shared" si="65"/>
        <v>24277819.667041421</v>
      </c>
      <c r="K145" s="617">
        <f t="shared" si="65"/>
        <v>4555305.9870414156</v>
      </c>
      <c r="L145" s="617">
        <f t="shared" si="65"/>
        <v>4555305.9870414156</v>
      </c>
      <c r="M145" s="617">
        <f t="shared" si="65"/>
        <v>19787885.987041418</v>
      </c>
      <c r="N145" s="617">
        <f t="shared" si="65"/>
        <v>4558321.9870414156</v>
      </c>
      <c r="O145" s="617">
        <f t="shared" si="65"/>
        <v>6464497.9640414156</v>
      </c>
      <c r="P145" s="617">
        <f t="shared" si="65"/>
        <v>140943773.41649699</v>
      </c>
      <c r="Q145" s="617">
        <f t="shared" si="65"/>
        <v>140943773.41649699</v>
      </c>
      <c r="R145" s="617">
        <f t="shared" si="65"/>
        <v>52183974.450000003</v>
      </c>
      <c r="S145" s="617">
        <f t="shared" si="65"/>
        <v>88759798.966496989</v>
      </c>
      <c r="T145" s="128"/>
    </row>
    <row r="146" spans="1:22">
      <c r="A146" s="91"/>
      <c r="B146" s="91"/>
      <c r="C146" s="91"/>
    </row>
    <row r="147" spans="1:22">
      <c r="A147" s="91"/>
      <c r="B147" s="91"/>
      <c r="C147" s="91"/>
    </row>
    <row r="148" spans="1:22">
      <c r="A148" s="563" t="s">
        <v>1851</v>
      </c>
      <c r="B148" s="587"/>
      <c r="C148" s="149"/>
      <c r="D148" s="131">
        <f>SUM(D149:D153)</f>
        <v>3762500</v>
      </c>
      <c r="E148" s="131">
        <f t="shared" ref="E148:S148" si="66">SUM(E149:E153)</f>
        <v>3762500</v>
      </c>
      <c r="F148" s="131">
        <f t="shared" si="66"/>
        <v>3762500</v>
      </c>
      <c r="G148" s="131">
        <f t="shared" si="66"/>
        <v>3762500</v>
      </c>
      <c r="H148" s="131">
        <f t="shared" si="66"/>
        <v>3762500</v>
      </c>
      <c r="I148" s="131">
        <f t="shared" si="66"/>
        <v>3762500</v>
      </c>
      <c r="J148" s="131">
        <f t="shared" si="66"/>
        <v>5962500</v>
      </c>
      <c r="K148" s="131">
        <f t="shared" si="66"/>
        <v>3762500</v>
      </c>
      <c r="L148" s="131">
        <f t="shared" si="66"/>
        <v>3762500</v>
      </c>
      <c r="M148" s="131">
        <f t="shared" si="66"/>
        <v>3762500</v>
      </c>
      <c r="N148" s="131">
        <f t="shared" si="66"/>
        <v>3762500</v>
      </c>
      <c r="O148" s="131">
        <f t="shared" si="66"/>
        <v>3762500</v>
      </c>
      <c r="P148" s="131">
        <f t="shared" si="66"/>
        <v>47350000</v>
      </c>
      <c r="Q148" s="131">
        <f t="shared" si="66"/>
        <v>47350000</v>
      </c>
      <c r="R148" s="131">
        <f t="shared" si="66"/>
        <v>5491810.0199999996</v>
      </c>
      <c r="S148" s="131">
        <f t="shared" si="66"/>
        <v>41858189.979999997</v>
      </c>
    </row>
    <row r="149" spans="1:22">
      <c r="A149" s="89" t="s">
        <v>1852</v>
      </c>
      <c r="B149" s="588"/>
      <c r="C149" s="90" t="s">
        <v>27</v>
      </c>
      <c r="D149" s="93">
        <v>375000</v>
      </c>
      <c r="E149" s="93">
        <v>375000</v>
      </c>
      <c r="F149" s="93">
        <v>375000</v>
      </c>
      <c r="G149" s="93">
        <v>375000</v>
      </c>
      <c r="H149" s="93">
        <v>375000</v>
      </c>
      <c r="I149" s="93">
        <v>375000</v>
      </c>
      <c r="J149" s="1351">
        <f>375000+2200000</f>
        <v>2575000</v>
      </c>
      <c r="K149" s="93">
        <v>375000</v>
      </c>
      <c r="L149" s="93">
        <v>375000</v>
      </c>
      <c r="M149" s="93">
        <v>375000</v>
      </c>
      <c r="N149" s="93">
        <v>375000</v>
      </c>
      <c r="O149" s="93">
        <v>375000</v>
      </c>
      <c r="P149" s="93">
        <f t="shared" ref="P149:P153" si="67">SUM(D149:O149)</f>
        <v>6700000</v>
      </c>
      <c r="Q149" s="93">
        <f t="shared" ref="Q149:Q153" si="68">SUM(D149:O149)</f>
        <v>6700000</v>
      </c>
      <c r="R149" s="93">
        <f>4179430.87+1058448.14</f>
        <v>5237879.01</v>
      </c>
      <c r="S149" s="559">
        <f t="shared" ref="S149:S153" si="69">+Q149-R149</f>
        <v>1462120.9900000002</v>
      </c>
    </row>
    <row r="150" spans="1:22">
      <c r="A150" s="89">
        <v>5594</v>
      </c>
      <c r="B150" s="89">
        <v>10001</v>
      </c>
      <c r="C150" s="90" t="s">
        <v>1853</v>
      </c>
      <c r="D150" s="93">
        <v>25000</v>
      </c>
      <c r="E150" s="93">
        <v>25000</v>
      </c>
      <c r="F150" s="93">
        <v>25000</v>
      </c>
      <c r="G150" s="93">
        <v>25000</v>
      </c>
      <c r="H150" s="93">
        <v>25000</v>
      </c>
      <c r="I150" s="93">
        <v>25000</v>
      </c>
      <c r="J150" s="93">
        <v>25000</v>
      </c>
      <c r="K150" s="93">
        <v>25000</v>
      </c>
      <c r="L150" s="93">
        <v>25000</v>
      </c>
      <c r="M150" s="93">
        <v>25000</v>
      </c>
      <c r="N150" s="93">
        <v>25000</v>
      </c>
      <c r="O150" s="93">
        <v>25000</v>
      </c>
      <c r="P150" s="93">
        <f t="shared" si="67"/>
        <v>300000</v>
      </c>
      <c r="Q150" s="93">
        <f t="shared" si="68"/>
        <v>300000</v>
      </c>
      <c r="R150" s="93">
        <v>139597.47</v>
      </c>
      <c r="S150" s="559">
        <f t="shared" si="69"/>
        <v>160402.53</v>
      </c>
    </row>
    <row r="151" spans="1:22">
      <c r="A151" s="89">
        <v>5599</v>
      </c>
      <c r="B151" s="89">
        <v>10001</v>
      </c>
      <c r="C151" s="90" t="s">
        <v>3251</v>
      </c>
      <c r="D151" s="93">
        <v>20833.333333333332</v>
      </c>
      <c r="E151" s="93">
        <v>20833.333333333332</v>
      </c>
      <c r="F151" s="93">
        <v>20833.333333333332</v>
      </c>
      <c r="G151" s="93">
        <v>20833.333333333332</v>
      </c>
      <c r="H151" s="93">
        <v>20833.333333333332</v>
      </c>
      <c r="I151" s="93">
        <v>20833.333333333332</v>
      </c>
      <c r="J151" s="93">
        <v>20833.333333333332</v>
      </c>
      <c r="K151" s="93">
        <v>20833.333333333332</v>
      </c>
      <c r="L151" s="93">
        <v>20833.333333333332</v>
      </c>
      <c r="M151" s="93">
        <v>20833.333333333332</v>
      </c>
      <c r="N151" s="93">
        <v>20833.333333333332</v>
      </c>
      <c r="O151" s="93">
        <v>20833.333333333332</v>
      </c>
      <c r="P151" s="93">
        <f t="shared" si="67"/>
        <v>250000.00000000003</v>
      </c>
      <c r="Q151" s="93">
        <f t="shared" si="68"/>
        <v>250000.00000000003</v>
      </c>
      <c r="R151" s="93">
        <v>105552.54</v>
      </c>
      <c r="S151" s="559">
        <f t="shared" si="69"/>
        <v>144447.46000000002</v>
      </c>
    </row>
    <row r="152" spans="1:22">
      <c r="A152" s="89">
        <v>5599</v>
      </c>
      <c r="B152" s="89">
        <v>10002</v>
      </c>
      <c r="C152" s="90" t="s">
        <v>3252</v>
      </c>
      <c r="D152" s="93">
        <v>8333.3333333333339</v>
      </c>
      <c r="E152" s="93">
        <v>8333.3333333333339</v>
      </c>
      <c r="F152" s="93">
        <v>8333.3333333333339</v>
      </c>
      <c r="G152" s="93">
        <v>8333.3333333333339</v>
      </c>
      <c r="H152" s="93">
        <v>8333.3333333333339</v>
      </c>
      <c r="I152" s="93">
        <v>8333.3333333333339</v>
      </c>
      <c r="J152" s="93">
        <v>8333.3333333333339</v>
      </c>
      <c r="K152" s="93">
        <v>8333.3333333333339</v>
      </c>
      <c r="L152" s="93">
        <v>8333.3333333333339</v>
      </c>
      <c r="M152" s="93">
        <v>8333.3333333333339</v>
      </c>
      <c r="N152" s="93">
        <v>8333.3333333333339</v>
      </c>
      <c r="O152" s="93">
        <v>8333.3333333333339</v>
      </c>
      <c r="P152" s="93">
        <f t="shared" si="67"/>
        <v>99999.999999999985</v>
      </c>
      <c r="Q152" s="93">
        <f t="shared" si="68"/>
        <v>99999.999999999985</v>
      </c>
      <c r="R152" s="93">
        <v>8781</v>
      </c>
      <c r="S152" s="559">
        <f t="shared" si="69"/>
        <v>91218.999999999985</v>
      </c>
    </row>
    <row r="153" spans="1:22">
      <c r="A153" s="89" t="s">
        <v>3148</v>
      </c>
      <c r="B153" s="89"/>
      <c r="C153" s="90" t="s">
        <v>3149</v>
      </c>
      <c r="D153" s="93">
        <v>3333333.3333333335</v>
      </c>
      <c r="E153" s="93">
        <v>3333333.3333333335</v>
      </c>
      <c r="F153" s="93">
        <v>3333333.3333333335</v>
      </c>
      <c r="G153" s="93">
        <v>3333333.3333333335</v>
      </c>
      <c r="H153" s="93">
        <v>3333333.3333333335</v>
      </c>
      <c r="I153" s="93">
        <v>3333333.3333333335</v>
      </c>
      <c r="J153" s="93">
        <v>3333333.3333333335</v>
      </c>
      <c r="K153" s="93">
        <v>3333333.3333333335</v>
      </c>
      <c r="L153" s="93">
        <v>3333333.3333333335</v>
      </c>
      <c r="M153" s="93">
        <v>3333333.3333333335</v>
      </c>
      <c r="N153" s="93">
        <v>3333333.3333333335</v>
      </c>
      <c r="O153" s="93">
        <v>3333333.3333333335</v>
      </c>
      <c r="P153" s="93">
        <f t="shared" si="67"/>
        <v>40000000</v>
      </c>
      <c r="Q153" s="93">
        <f t="shared" si="68"/>
        <v>40000000</v>
      </c>
      <c r="R153" s="93"/>
      <c r="S153" s="559">
        <f t="shared" si="69"/>
        <v>40000000</v>
      </c>
    </row>
    <row r="154" spans="1:22">
      <c r="A154" s="563" t="s">
        <v>1854</v>
      </c>
      <c r="B154" s="110"/>
      <c r="C154" s="94"/>
      <c r="D154" s="150">
        <f>+D148</f>
        <v>3762500</v>
      </c>
      <c r="E154" s="150">
        <f t="shared" ref="E154:O154" si="70">+E148</f>
        <v>3762500</v>
      </c>
      <c r="F154" s="150">
        <f t="shared" si="70"/>
        <v>3762500</v>
      </c>
      <c r="G154" s="150">
        <f t="shared" si="70"/>
        <v>3762500</v>
      </c>
      <c r="H154" s="150">
        <f t="shared" si="70"/>
        <v>3762500</v>
      </c>
      <c r="I154" s="150">
        <f t="shared" si="70"/>
        <v>3762500</v>
      </c>
      <c r="J154" s="150">
        <f t="shared" si="70"/>
        <v>5962500</v>
      </c>
      <c r="K154" s="150">
        <f t="shared" si="70"/>
        <v>3762500</v>
      </c>
      <c r="L154" s="150">
        <f t="shared" si="70"/>
        <v>3762500</v>
      </c>
      <c r="M154" s="150">
        <f t="shared" si="70"/>
        <v>3762500</v>
      </c>
      <c r="N154" s="150">
        <f t="shared" si="70"/>
        <v>3762500</v>
      </c>
      <c r="O154" s="150">
        <f t="shared" si="70"/>
        <v>3762500</v>
      </c>
      <c r="P154" s="150">
        <f t="shared" ref="P154:S154" si="71">+P148</f>
        <v>47350000</v>
      </c>
      <c r="Q154" s="150">
        <f t="shared" si="71"/>
        <v>47350000</v>
      </c>
      <c r="R154" s="150">
        <f t="shared" si="71"/>
        <v>5491810.0199999996</v>
      </c>
      <c r="S154" s="150">
        <f t="shared" si="71"/>
        <v>41858189.979999997</v>
      </c>
    </row>
    <row r="155" spans="1:22">
      <c r="A155" s="91"/>
      <c r="B155" s="91"/>
      <c r="C155" s="91"/>
      <c r="R155" s="10"/>
    </row>
    <row r="156" spans="1:22" ht="15">
      <c r="A156" s="618"/>
      <c r="B156" s="619"/>
      <c r="C156" s="620" t="s">
        <v>142</v>
      </c>
      <c r="D156" s="590"/>
      <c r="E156" s="590"/>
      <c r="F156" s="590"/>
      <c r="G156" s="590"/>
      <c r="H156" s="590"/>
      <c r="I156" s="590"/>
      <c r="J156" s="590"/>
      <c r="K156" s="590"/>
      <c r="L156" s="590"/>
      <c r="M156" s="590"/>
      <c r="N156" s="590"/>
      <c r="O156" s="590"/>
      <c r="P156" s="624"/>
      <c r="Q156" s="625"/>
      <c r="R156" s="625"/>
      <c r="S156" s="626"/>
    </row>
    <row r="157" spans="1:22" ht="15">
      <c r="A157" s="621"/>
      <c r="B157" s="621"/>
      <c r="C157" s="620" t="s">
        <v>144</v>
      </c>
      <c r="D157" s="607" t="s">
        <v>51</v>
      </c>
      <c r="E157" s="607" t="s">
        <v>52</v>
      </c>
      <c r="F157" s="607" t="s">
        <v>53</v>
      </c>
      <c r="G157" s="607" t="s">
        <v>54</v>
      </c>
      <c r="H157" s="607" t="s">
        <v>55</v>
      </c>
      <c r="I157" s="607" t="s">
        <v>56</v>
      </c>
      <c r="J157" s="607" t="s">
        <v>57</v>
      </c>
      <c r="K157" s="607" t="s">
        <v>58</v>
      </c>
      <c r="L157" s="607" t="s">
        <v>59</v>
      </c>
      <c r="M157" s="607" t="s">
        <v>60</v>
      </c>
      <c r="N157" s="607" t="s">
        <v>61</v>
      </c>
      <c r="O157" s="607" t="s">
        <v>62</v>
      </c>
      <c r="P157" s="607" t="s">
        <v>5629</v>
      </c>
      <c r="Q157" s="607" t="s">
        <v>25</v>
      </c>
      <c r="R157" s="659" t="s">
        <v>236</v>
      </c>
      <c r="S157" s="607" t="s">
        <v>63</v>
      </c>
    </row>
    <row r="158" spans="1:22">
      <c r="A158" s="91"/>
      <c r="B158" s="91"/>
      <c r="C158" s="589"/>
    </row>
    <row r="159" spans="1:22">
      <c r="A159" s="91"/>
      <c r="B159" s="91"/>
      <c r="C159" s="112" t="s">
        <v>3254</v>
      </c>
      <c r="D159" s="1323">
        <f>SUM(D160:D162)</f>
        <v>241500</v>
      </c>
      <c r="E159" s="1323">
        <f t="shared" ref="E159:S159" si="72">SUM(E160:E162)</f>
        <v>7741500</v>
      </c>
      <c r="F159" s="1323">
        <f t="shared" si="72"/>
        <v>112000</v>
      </c>
      <c r="G159" s="1323">
        <f t="shared" si="72"/>
        <v>0</v>
      </c>
      <c r="H159" s="1323">
        <f t="shared" si="72"/>
        <v>100000</v>
      </c>
      <c r="I159" s="1323">
        <f t="shared" si="72"/>
        <v>0</v>
      </c>
      <c r="J159" s="1323">
        <f t="shared" si="72"/>
        <v>490000</v>
      </c>
      <c r="K159" s="1323">
        <f t="shared" si="72"/>
        <v>0</v>
      </c>
      <c r="L159" s="1323">
        <f t="shared" si="72"/>
        <v>0</v>
      </c>
      <c r="M159" s="1323">
        <f t="shared" si="72"/>
        <v>0</v>
      </c>
      <c r="N159" s="1323">
        <f t="shared" si="72"/>
        <v>0</v>
      </c>
      <c r="O159" s="1323">
        <f t="shared" si="72"/>
        <v>0</v>
      </c>
      <c r="P159" s="1323">
        <f t="shared" si="72"/>
        <v>8685000</v>
      </c>
      <c r="Q159" s="1323">
        <f t="shared" si="72"/>
        <v>8685000</v>
      </c>
      <c r="R159" s="1323">
        <f t="shared" si="72"/>
        <v>170286.63</v>
      </c>
      <c r="S159" s="1323">
        <f t="shared" si="72"/>
        <v>8514713.3699999992</v>
      </c>
    </row>
    <row r="160" spans="1:22">
      <c r="A160" s="91"/>
      <c r="B160" s="91"/>
      <c r="C160" s="517" t="s">
        <v>3255</v>
      </c>
      <c r="D160" s="774"/>
      <c r="E160" s="774"/>
      <c r="F160" s="774">
        <v>112000</v>
      </c>
      <c r="G160" s="774"/>
      <c r="H160" s="1349">
        <v>100000</v>
      </c>
      <c r="I160" s="774"/>
      <c r="J160" s="774"/>
      <c r="K160" s="774"/>
      <c r="L160" s="774"/>
      <c r="M160" s="774"/>
      <c r="N160" s="774"/>
      <c r="O160" s="774"/>
      <c r="P160" s="774">
        <f>SUM(D160:O160)</f>
        <v>212000</v>
      </c>
      <c r="Q160" s="93">
        <f t="shared" ref="Q160:Q162" si="73">SUM(D160:O160)</f>
        <v>212000</v>
      </c>
      <c r="R160" s="93">
        <v>98841</v>
      </c>
      <c r="S160" s="559">
        <f>+Q160-R160</f>
        <v>113159</v>
      </c>
      <c r="U160" s="775"/>
      <c r="V160" s="775"/>
    </row>
    <row r="161" spans="1:19">
      <c r="A161" s="91"/>
      <c r="B161" s="91"/>
      <c r="C161" s="517" t="s">
        <v>2986</v>
      </c>
      <c r="D161" s="774">
        <v>241500</v>
      </c>
      <c r="E161" s="774">
        <v>241500</v>
      </c>
      <c r="F161" s="774"/>
      <c r="G161" s="774"/>
      <c r="H161" s="774"/>
      <c r="I161" s="774"/>
      <c r="J161" s="1349">
        <v>490000</v>
      </c>
      <c r="K161" s="774"/>
      <c r="L161" s="774"/>
      <c r="M161" s="774"/>
      <c r="N161" s="774"/>
      <c r="O161" s="774"/>
      <c r="P161" s="774">
        <f t="shared" ref="P161:P162" si="74">SUM(D161:O161)</f>
        <v>973000</v>
      </c>
      <c r="Q161" s="93">
        <f t="shared" si="73"/>
        <v>973000</v>
      </c>
      <c r="R161" s="93">
        <f>35815.54+3188.79+4525+13400+14516.3</f>
        <v>71445.63</v>
      </c>
      <c r="S161" s="559">
        <f t="shared" ref="S161:S162" si="75">+Q161-R161</f>
        <v>901554.37</v>
      </c>
    </row>
    <row r="162" spans="1:19">
      <c r="A162" s="91"/>
      <c r="B162" s="91"/>
      <c r="C162" s="90" t="s">
        <v>3256</v>
      </c>
      <c r="D162" s="774"/>
      <c r="E162" s="774">
        <v>7500000</v>
      </c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774">
        <f t="shared" si="74"/>
        <v>7500000</v>
      </c>
      <c r="Q162" s="93">
        <f t="shared" si="73"/>
        <v>7500000</v>
      </c>
      <c r="R162" s="93"/>
      <c r="S162" s="559">
        <f t="shared" si="75"/>
        <v>7500000</v>
      </c>
    </row>
    <row r="163" spans="1:19">
      <c r="A163" s="91"/>
      <c r="B163" s="91"/>
      <c r="C163" s="112" t="s">
        <v>142</v>
      </c>
      <c r="D163" s="1319"/>
      <c r="E163" s="1319"/>
      <c r="F163" s="1319"/>
      <c r="G163" s="1319"/>
      <c r="H163" s="1319"/>
      <c r="I163" s="1319"/>
      <c r="J163" s="1319"/>
      <c r="K163" s="1319"/>
      <c r="L163" s="1319"/>
      <c r="M163" s="1319"/>
      <c r="N163" s="1319"/>
      <c r="O163" s="1319"/>
      <c r="P163" s="131"/>
      <c r="Q163" s="131"/>
      <c r="R163" s="131"/>
      <c r="S163" s="131"/>
    </row>
    <row r="164" spans="1:19">
      <c r="A164" s="91"/>
      <c r="B164" s="91"/>
      <c r="C164" s="112" t="s">
        <v>149</v>
      </c>
      <c r="D164" s="131">
        <f>SUM(D165:D170)</f>
        <v>2570000</v>
      </c>
      <c r="E164" s="131">
        <f t="shared" ref="E164:O164" si="76">SUM(E165:E170)</f>
        <v>1841000</v>
      </c>
      <c r="F164" s="131">
        <f t="shared" si="76"/>
        <v>2315000</v>
      </c>
      <c r="G164" s="131">
        <f t="shared" si="76"/>
        <v>1900000</v>
      </c>
      <c r="H164" s="131">
        <f t="shared" si="76"/>
        <v>4260000</v>
      </c>
      <c r="I164" s="131">
        <f t="shared" si="76"/>
        <v>2500000</v>
      </c>
      <c r="J164" s="131">
        <f t="shared" si="76"/>
        <v>1335361</v>
      </c>
      <c r="K164" s="131">
        <f t="shared" si="76"/>
        <v>250000</v>
      </c>
      <c r="L164" s="131">
        <f t="shared" si="76"/>
        <v>0</v>
      </c>
      <c r="M164" s="131">
        <f t="shared" si="76"/>
        <v>0</v>
      </c>
      <c r="N164" s="131">
        <f>SUM(N165:N172)</f>
        <v>515935</v>
      </c>
      <c r="O164" s="131">
        <f t="shared" si="76"/>
        <v>0</v>
      </c>
      <c r="P164" s="131">
        <f>SUM(P165:P172)</f>
        <v>18997296</v>
      </c>
      <c r="Q164" s="131">
        <f>SUM(Q165:Q172)</f>
        <v>18997296</v>
      </c>
      <c r="R164" s="131">
        <f>SUM(R165:R172)</f>
        <v>5283502.43</v>
      </c>
      <c r="S164" s="131">
        <f>SUM(S165:S172)</f>
        <v>13713793.57</v>
      </c>
    </row>
    <row r="165" spans="1:19">
      <c r="A165" s="91"/>
      <c r="B165" s="1330">
        <v>1</v>
      </c>
      <c r="C165" s="126" t="s">
        <v>3257</v>
      </c>
      <c r="D165" s="774">
        <v>0</v>
      </c>
      <c r="E165" s="774">
        <v>0</v>
      </c>
      <c r="F165" s="774">
        <v>890000</v>
      </c>
      <c r="G165" s="774">
        <v>600000</v>
      </c>
      <c r="H165" s="774">
        <v>800000</v>
      </c>
      <c r="I165" s="774">
        <v>1200000</v>
      </c>
      <c r="J165" s="774">
        <v>300000</v>
      </c>
      <c r="K165" s="774">
        <v>200000</v>
      </c>
      <c r="L165" s="774">
        <v>0</v>
      </c>
      <c r="M165" s="774">
        <v>0</v>
      </c>
      <c r="N165" s="774">
        <v>0</v>
      </c>
      <c r="O165" s="774">
        <v>0</v>
      </c>
      <c r="P165" s="774">
        <f t="shared" ref="P165:P172" si="77">SUM(D165:O165)</f>
        <v>3990000</v>
      </c>
      <c r="Q165" s="93">
        <f t="shared" ref="Q165:Q172" si="78">SUM(D165:O165)</f>
        <v>3990000</v>
      </c>
      <c r="R165" s="773">
        <f>854947.69+37715.03+751428.82</f>
        <v>1644091.54</v>
      </c>
      <c r="S165" s="559">
        <f t="shared" ref="S165:S172" si="79">+Q165-R165</f>
        <v>2345908.46</v>
      </c>
    </row>
    <row r="166" spans="1:19">
      <c r="A166" s="91"/>
      <c r="B166" s="1330">
        <v>2</v>
      </c>
      <c r="C166" s="90" t="s">
        <v>3258</v>
      </c>
      <c r="D166" s="774">
        <v>350000</v>
      </c>
      <c r="E166" s="774"/>
      <c r="F166" s="774"/>
      <c r="G166" s="774"/>
      <c r="H166" s="1349">
        <v>400000</v>
      </c>
      <c r="I166" s="1349"/>
      <c r="J166" s="1349">
        <v>535361</v>
      </c>
      <c r="K166" s="774"/>
      <c r="L166" s="774"/>
      <c r="M166" s="774"/>
      <c r="N166" s="774"/>
      <c r="O166" s="774"/>
      <c r="P166" s="774">
        <f t="shared" si="77"/>
        <v>1285361</v>
      </c>
      <c r="Q166" s="93">
        <f t="shared" si="78"/>
        <v>1285361</v>
      </c>
      <c r="R166" s="93">
        <f>251490.63+289638.35+395762.74+122439.32-5171.61+5171.61-55432.24</f>
        <v>1003898.8</v>
      </c>
      <c r="S166" s="559">
        <f t="shared" si="79"/>
        <v>281462.19999999995</v>
      </c>
    </row>
    <row r="167" spans="1:19">
      <c r="A167" s="91"/>
      <c r="B167" s="1330">
        <v>3</v>
      </c>
      <c r="C167" s="90" t="s">
        <v>3259</v>
      </c>
      <c r="D167" s="774">
        <v>300000</v>
      </c>
      <c r="E167" s="774">
        <v>220000</v>
      </c>
      <c r="F167" s="774">
        <v>100000</v>
      </c>
      <c r="G167" s="774">
        <v>100000</v>
      </c>
      <c r="H167" s="1349">
        <v>1580000</v>
      </c>
      <c r="I167" s="774">
        <v>100000</v>
      </c>
      <c r="J167" s="774">
        <v>50000</v>
      </c>
      <c r="K167" s="774">
        <v>0</v>
      </c>
      <c r="L167" s="774">
        <v>0</v>
      </c>
      <c r="M167" s="774">
        <v>0</v>
      </c>
      <c r="N167" s="774">
        <v>0</v>
      </c>
      <c r="O167" s="774">
        <v>0</v>
      </c>
      <c r="P167" s="774">
        <f t="shared" si="77"/>
        <v>2450000</v>
      </c>
      <c r="Q167" s="93">
        <f t="shared" si="78"/>
        <v>2450000</v>
      </c>
      <c r="R167" s="773">
        <f>146842.78+58091.65+56515.22+64510.04+21536.99+55374.05-141072.53+504022.15+126365.57+69642.22+1615.54+4613.93</f>
        <v>968057.61</v>
      </c>
      <c r="S167" s="559">
        <f t="shared" si="79"/>
        <v>1481942.3900000001</v>
      </c>
    </row>
    <row r="168" spans="1:19">
      <c r="A168" s="91"/>
      <c r="B168" s="1330">
        <v>4</v>
      </c>
      <c r="C168" s="772" t="s">
        <v>3991</v>
      </c>
      <c r="D168" s="774">
        <v>1600000</v>
      </c>
      <c r="E168" s="774">
        <v>1200000</v>
      </c>
      <c r="F168" s="774">
        <v>1325000</v>
      </c>
      <c r="G168" s="774">
        <v>1200000</v>
      </c>
      <c r="H168" s="774">
        <v>1200000</v>
      </c>
      <c r="I168" s="774">
        <v>1200000</v>
      </c>
      <c r="J168" s="774">
        <v>450000</v>
      </c>
      <c r="K168" s="774">
        <v>50000</v>
      </c>
      <c r="L168" s="774">
        <v>0</v>
      </c>
      <c r="M168" s="774">
        <v>0</v>
      </c>
      <c r="N168" s="774">
        <v>0</v>
      </c>
      <c r="O168" s="774">
        <v>0</v>
      </c>
      <c r="P168" s="774">
        <f t="shared" si="77"/>
        <v>8225000</v>
      </c>
      <c r="Q168" s="93">
        <f t="shared" si="78"/>
        <v>8225000</v>
      </c>
      <c r="R168" s="773"/>
      <c r="S168" s="559">
        <f t="shared" si="79"/>
        <v>8225000</v>
      </c>
    </row>
    <row r="169" spans="1:19">
      <c r="A169" s="91"/>
      <c r="B169" s="1330"/>
      <c r="C169" s="772" t="s">
        <v>3992</v>
      </c>
      <c r="D169" s="774"/>
      <c r="E169" s="774">
        <v>300000</v>
      </c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>
        <f t="shared" si="77"/>
        <v>300000</v>
      </c>
      <c r="Q169" s="93">
        <f t="shared" si="78"/>
        <v>300000</v>
      </c>
      <c r="R169" s="773"/>
      <c r="S169" s="559">
        <f t="shared" si="79"/>
        <v>300000</v>
      </c>
    </row>
    <row r="170" spans="1:19">
      <c r="A170" s="91"/>
      <c r="B170" s="1330">
        <v>5</v>
      </c>
      <c r="C170" s="772" t="s">
        <v>3993</v>
      </c>
      <c r="D170" s="774">
        <v>320000</v>
      </c>
      <c r="E170" s="774">
        <v>121000</v>
      </c>
      <c r="F170" s="774">
        <v>0</v>
      </c>
      <c r="G170" s="774">
        <v>0</v>
      </c>
      <c r="H170" s="1349">
        <v>280000</v>
      </c>
      <c r="I170" s="774">
        <v>0</v>
      </c>
      <c r="J170" s="774">
        <v>0</v>
      </c>
      <c r="K170" s="774">
        <v>0</v>
      </c>
      <c r="L170" s="774">
        <v>0</v>
      </c>
      <c r="M170" s="774">
        <v>0</v>
      </c>
      <c r="N170" s="774">
        <v>0</v>
      </c>
      <c r="O170" s="774">
        <v>0</v>
      </c>
      <c r="P170" s="774">
        <f t="shared" si="77"/>
        <v>721000</v>
      </c>
      <c r="Q170" s="93">
        <f t="shared" si="78"/>
        <v>721000</v>
      </c>
      <c r="R170" s="773">
        <f>243829-370528.46+106501.36+59916.56+118268.41+145630.52+62038.54+2105.38-12608.47</f>
        <v>355152.84</v>
      </c>
      <c r="S170" s="559">
        <f t="shared" si="79"/>
        <v>365847.16</v>
      </c>
    </row>
    <row r="171" spans="1:19">
      <c r="A171" s="91"/>
      <c r="B171" s="1330"/>
      <c r="C171" s="772" t="s">
        <v>5900</v>
      </c>
      <c r="D171" s="774"/>
      <c r="E171" s="774"/>
      <c r="F171" s="774"/>
      <c r="G171" s="774"/>
      <c r="H171" s="1349">
        <v>1510000</v>
      </c>
      <c r="I171" s="774"/>
      <c r="J171" s="774"/>
      <c r="K171" s="774"/>
      <c r="L171" s="774"/>
      <c r="M171" s="774"/>
      <c r="N171" s="774"/>
      <c r="O171" s="774"/>
      <c r="P171" s="774">
        <f t="shared" si="77"/>
        <v>1510000</v>
      </c>
      <c r="Q171" s="93">
        <f t="shared" si="78"/>
        <v>1510000</v>
      </c>
      <c r="R171" s="773">
        <f>-304108.61+87137.47+96765.06+203320.77+83141.4+581523.92+211125.26+210281.62+82203.41+60911.34</f>
        <v>1312301.6400000001</v>
      </c>
      <c r="S171" s="559">
        <f t="shared" si="79"/>
        <v>197698.35999999987</v>
      </c>
    </row>
    <row r="172" spans="1:19">
      <c r="A172" s="91"/>
      <c r="B172" s="1330"/>
      <c r="C172" s="772" t="s">
        <v>6812</v>
      </c>
      <c r="D172" s="774"/>
      <c r="E172" s="774"/>
      <c r="F172" s="774"/>
      <c r="G172" s="774"/>
      <c r="H172" s="1349"/>
      <c r="I172" s="774"/>
      <c r="J172" s="774"/>
      <c r="K172" s="774"/>
      <c r="L172" s="774"/>
      <c r="M172" s="774"/>
      <c r="N172" s="1349">
        <v>515935</v>
      </c>
      <c r="O172" s="774"/>
      <c r="P172" s="774">
        <f t="shared" si="77"/>
        <v>515935</v>
      </c>
      <c r="Q172" s="93">
        <f t="shared" si="78"/>
        <v>515935</v>
      </c>
      <c r="R172" s="773"/>
      <c r="S172" s="559">
        <f t="shared" si="79"/>
        <v>515935</v>
      </c>
    </row>
    <row r="173" spans="1:19">
      <c r="A173" s="91"/>
      <c r="B173" s="1330"/>
      <c r="C173" s="112" t="s">
        <v>159</v>
      </c>
      <c r="D173" s="1324">
        <f t="shared" ref="D173:S173" si="80">SUM(D174:D177)</f>
        <v>23020000</v>
      </c>
      <c r="E173" s="1324">
        <f t="shared" si="80"/>
        <v>23030000</v>
      </c>
      <c r="F173" s="1324">
        <f t="shared" si="80"/>
        <v>550000</v>
      </c>
      <c r="G173" s="1324">
        <f t="shared" si="80"/>
        <v>150000</v>
      </c>
      <c r="H173" s="1324">
        <f t="shared" si="80"/>
        <v>750000</v>
      </c>
      <c r="I173" s="1324">
        <f t="shared" si="80"/>
        <v>150000</v>
      </c>
      <c r="J173" s="1324">
        <f t="shared" si="80"/>
        <v>0</v>
      </c>
      <c r="K173" s="1324">
        <f t="shared" si="80"/>
        <v>0</v>
      </c>
      <c r="L173" s="1324">
        <f t="shared" si="80"/>
        <v>0</v>
      </c>
      <c r="M173" s="1324">
        <f t="shared" si="80"/>
        <v>0</v>
      </c>
      <c r="N173" s="1324">
        <f t="shared" si="80"/>
        <v>0</v>
      </c>
      <c r="O173" s="1324">
        <f t="shared" si="80"/>
        <v>0</v>
      </c>
      <c r="P173" s="1324">
        <f t="shared" si="80"/>
        <v>47650000</v>
      </c>
      <c r="Q173" s="1324">
        <f t="shared" si="80"/>
        <v>47650000</v>
      </c>
      <c r="R173" s="1324">
        <f t="shared" si="80"/>
        <v>43749203.729999989</v>
      </c>
      <c r="S173" s="1324">
        <f t="shared" si="80"/>
        <v>3900796.2700000117</v>
      </c>
    </row>
    <row r="174" spans="1:19">
      <c r="A174" s="91"/>
      <c r="B174" s="1330"/>
      <c r="C174" s="90" t="s">
        <v>3260</v>
      </c>
      <c r="D174" s="774">
        <v>22000000</v>
      </c>
      <c r="E174" s="774">
        <v>22000000</v>
      </c>
      <c r="F174" s="774"/>
      <c r="G174" s="774"/>
      <c r="H174" s="774"/>
      <c r="I174" s="774"/>
      <c r="J174" s="774"/>
      <c r="K174" s="774"/>
      <c r="L174" s="774"/>
      <c r="M174" s="774"/>
      <c r="N174" s="774"/>
      <c r="O174" s="774"/>
      <c r="P174" s="774">
        <f t="shared" ref="P174:P177" si="81">SUM(D174:O174)</f>
        <v>44000000</v>
      </c>
      <c r="Q174" s="93">
        <f t="shared" ref="Q174:Q177" si="82">SUM(D174:O174)</f>
        <v>44000000</v>
      </c>
      <c r="R174" s="93">
        <f>1089675.54+22650+58725.18+433861.94+1269589.02+52989.68+320537.89+102510.02+2420201.84+1516943.15+100768.59+107772.05+6911931.67+46880.4+212685.87+2310948.31+27768.63+1361180.24+3666695.69+3279520.22+72988.84+842269.27+214050.49+2530579.48+19661.07+207230.21+2411310.01+199819.89+3782811.38+57958.51+958353.23+136244.98+136244.98+559161.64+38729.53+1623044.93+136244.98+1854973.7+98360.84+6364.8+148025.35+40127.41</f>
        <v>41388391.449999988</v>
      </c>
      <c r="S174" s="559">
        <f t="shared" ref="S174:S177" si="83">+Q174-R174</f>
        <v>2611608.5500000119</v>
      </c>
    </row>
    <row r="175" spans="1:19">
      <c r="A175" s="91"/>
      <c r="B175" s="1330">
        <v>6</v>
      </c>
      <c r="C175" s="772" t="s">
        <v>3994</v>
      </c>
      <c r="D175" s="1322">
        <v>350000</v>
      </c>
      <c r="E175" s="1322">
        <v>350000</v>
      </c>
      <c r="F175" s="1322">
        <v>100000</v>
      </c>
      <c r="G175" s="1322">
        <v>0</v>
      </c>
      <c r="H175" s="1350">
        <v>650000</v>
      </c>
      <c r="I175" s="1322">
        <v>0</v>
      </c>
      <c r="J175" s="1322">
        <v>0</v>
      </c>
      <c r="K175" s="1322">
        <v>0</v>
      </c>
      <c r="L175" s="1322">
        <v>0</v>
      </c>
      <c r="M175" s="1322">
        <v>0</v>
      </c>
      <c r="N175" s="1322">
        <v>0</v>
      </c>
      <c r="O175" s="1322">
        <v>0</v>
      </c>
      <c r="P175" s="774">
        <f t="shared" si="81"/>
        <v>1450000</v>
      </c>
      <c r="Q175" s="93">
        <f t="shared" si="82"/>
        <v>1450000</v>
      </c>
      <c r="R175" s="773">
        <f>230586.14-341363.05+96819.42+392141.12+107516.73+6153.43+95334.24+646898.07+3048.59+19171.13</f>
        <v>1256305.82</v>
      </c>
      <c r="S175" s="559">
        <f t="shared" si="83"/>
        <v>193694.17999999993</v>
      </c>
    </row>
    <row r="176" spans="1:19">
      <c r="A176" s="91"/>
      <c r="B176" s="1330"/>
      <c r="C176" s="772" t="s">
        <v>3995</v>
      </c>
      <c r="D176" s="774"/>
      <c r="E176" s="774">
        <v>150000</v>
      </c>
      <c r="F176" s="774"/>
      <c r="G176" s="774"/>
      <c r="H176" s="774"/>
      <c r="I176" s="774"/>
      <c r="J176" s="774"/>
      <c r="K176" s="774"/>
      <c r="L176" s="774"/>
      <c r="M176" s="774"/>
      <c r="N176" s="774"/>
      <c r="O176" s="774"/>
      <c r="P176" s="774">
        <f t="shared" si="81"/>
        <v>150000</v>
      </c>
      <c r="Q176" s="93">
        <f t="shared" si="82"/>
        <v>150000</v>
      </c>
      <c r="R176" s="773"/>
      <c r="S176" s="559">
        <f t="shared" si="83"/>
        <v>150000</v>
      </c>
    </row>
    <row r="177" spans="1:19">
      <c r="A177" s="91"/>
      <c r="B177" s="1330">
        <v>7</v>
      </c>
      <c r="C177" s="772" t="s">
        <v>3996</v>
      </c>
      <c r="D177" s="1322">
        <v>670000</v>
      </c>
      <c r="E177" s="1322">
        <v>530000</v>
      </c>
      <c r="F177" s="1322">
        <v>450000</v>
      </c>
      <c r="G177" s="1322">
        <v>150000</v>
      </c>
      <c r="H177" s="1322">
        <v>100000</v>
      </c>
      <c r="I177" s="1322">
        <v>150000</v>
      </c>
      <c r="J177" s="1322">
        <v>0</v>
      </c>
      <c r="K177" s="1322">
        <v>0</v>
      </c>
      <c r="L177" s="1322">
        <v>0</v>
      </c>
      <c r="M177" s="1322">
        <v>0</v>
      </c>
      <c r="N177" s="1322">
        <v>0</v>
      </c>
      <c r="O177" s="1322">
        <v>0</v>
      </c>
      <c r="P177" s="774">
        <f t="shared" si="81"/>
        <v>2050000</v>
      </c>
      <c r="Q177" s="93">
        <f t="shared" si="82"/>
        <v>2050000</v>
      </c>
      <c r="R177" s="773">
        <f>32264.45+293944.35+29455.33+109473.78+69778.03+18305.68+20407.85+27738.89+50984.28+80592.42+61673.18+15930.38+293957.84</f>
        <v>1104506.4600000002</v>
      </c>
      <c r="S177" s="559">
        <f t="shared" si="83"/>
        <v>945493.5399999998</v>
      </c>
    </row>
    <row r="178" spans="1:19">
      <c r="A178" s="91"/>
      <c r="B178" s="1330"/>
      <c r="C178" s="112" t="s">
        <v>3261</v>
      </c>
      <c r="D178" s="131">
        <f t="shared" ref="D178:S178" si="84">SUM(D179:D183)</f>
        <v>600000</v>
      </c>
      <c r="E178" s="131">
        <f t="shared" si="84"/>
        <v>250000</v>
      </c>
      <c r="F178" s="131">
        <f t="shared" si="84"/>
        <v>800000</v>
      </c>
      <c r="G178" s="131">
        <f t="shared" si="84"/>
        <v>200000</v>
      </c>
      <c r="H178" s="131">
        <f t="shared" si="84"/>
        <v>5027036</v>
      </c>
      <c r="I178" s="131">
        <f t="shared" si="84"/>
        <v>350000</v>
      </c>
      <c r="J178" s="131">
        <f t="shared" si="84"/>
        <v>-972834</v>
      </c>
      <c r="K178" s="131">
        <f t="shared" si="84"/>
        <v>200000</v>
      </c>
      <c r="L178" s="131">
        <f t="shared" si="84"/>
        <v>0</v>
      </c>
      <c r="M178" s="131">
        <f t="shared" si="84"/>
        <v>0</v>
      </c>
      <c r="N178" s="131">
        <f t="shared" si="84"/>
        <v>0</v>
      </c>
      <c r="O178" s="131">
        <f t="shared" si="84"/>
        <v>0</v>
      </c>
      <c r="P178" s="131">
        <f t="shared" si="84"/>
        <v>6454202</v>
      </c>
      <c r="Q178" s="131">
        <f t="shared" si="84"/>
        <v>6454202</v>
      </c>
      <c r="R178" s="131">
        <f t="shared" si="84"/>
        <v>2437929.09</v>
      </c>
      <c r="S178" s="131">
        <f t="shared" si="84"/>
        <v>4016272.91</v>
      </c>
    </row>
    <row r="179" spans="1:19">
      <c r="A179" s="91"/>
      <c r="B179" s="1330">
        <v>8</v>
      </c>
      <c r="C179" s="90" t="s">
        <v>3262</v>
      </c>
      <c r="D179" s="774">
        <v>350000</v>
      </c>
      <c r="E179" s="774"/>
      <c r="F179" s="774"/>
      <c r="G179" s="774"/>
      <c r="H179" s="1349">
        <v>1797036</v>
      </c>
      <c r="I179" s="1349"/>
      <c r="J179" s="1349">
        <v>-1172834</v>
      </c>
      <c r="K179" s="774"/>
      <c r="L179" s="774"/>
      <c r="M179" s="774"/>
      <c r="N179" s="774"/>
      <c r="O179" s="774"/>
      <c r="P179" s="774">
        <f t="shared" ref="P179:P183" si="85">SUM(D179:O179)</f>
        <v>974202</v>
      </c>
      <c r="Q179" s="93">
        <f t="shared" ref="Q179:Q183" si="86">SUM(D179:O179)</f>
        <v>974202</v>
      </c>
      <c r="R179" s="93">
        <f>369064.77+288545.1+34347.61+29363.23+162185.32</f>
        <v>883506.03</v>
      </c>
      <c r="S179" s="559">
        <f t="shared" ref="S179:S183" si="87">+Q179-R179</f>
        <v>90695.969999999972</v>
      </c>
    </row>
    <row r="180" spans="1:19">
      <c r="A180" s="91"/>
      <c r="B180" s="1330">
        <v>9</v>
      </c>
      <c r="C180" s="772" t="s">
        <v>3997</v>
      </c>
      <c r="D180" s="774">
        <v>250000</v>
      </c>
      <c r="E180" s="774">
        <v>250000</v>
      </c>
      <c r="F180" s="774">
        <v>0</v>
      </c>
      <c r="G180" s="774">
        <v>0</v>
      </c>
      <c r="H180" s="1349">
        <v>680000</v>
      </c>
      <c r="I180" s="774">
        <v>0</v>
      </c>
      <c r="J180" s="774">
        <v>0</v>
      </c>
      <c r="K180" s="774">
        <v>0</v>
      </c>
      <c r="L180" s="774">
        <v>0</v>
      </c>
      <c r="M180" s="774">
        <v>0</v>
      </c>
      <c r="N180" s="774">
        <v>0</v>
      </c>
      <c r="O180" s="774">
        <v>0</v>
      </c>
      <c r="P180" s="774">
        <f t="shared" si="85"/>
        <v>1180000</v>
      </c>
      <c r="Q180" s="93">
        <f t="shared" si="86"/>
        <v>1180000</v>
      </c>
      <c r="R180" s="773">
        <f>135547.18-217328.37+62932.62+474385.49+69885.88+126145.23+130696.28+150853.29+68600.69+45778.62-12158.57</f>
        <v>1035338.3400000001</v>
      </c>
      <c r="S180" s="559">
        <f t="shared" si="87"/>
        <v>144661.65999999992</v>
      </c>
    </row>
    <row r="181" spans="1:19">
      <c r="A181" s="91"/>
      <c r="B181" s="1330"/>
      <c r="C181" s="772" t="s">
        <v>5901</v>
      </c>
      <c r="D181" s="774"/>
      <c r="E181" s="774"/>
      <c r="F181" s="774"/>
      <c r="G181" s="774"/>
      <c r="H181" s="1349">
        <v>1790000</v>
      </c>
      <c r="I181" s="774"/>
      <c r="J181" s="774"/>
      <c r="K181" s="774"/>
      <c r="L181" s="774"/>
      <c r="M181" s="774"/>
      <c r="N181" s="774"/>
      <c r="O181" s="774"/>
      <c r="P181" s="774">
        <f t="shared" si="85"/>
        <v>1790000</v>
      </c>
      <c r="Q181" s="93">
        <f t="shared" si="86"/>
        <v>1790000</v>
      </c>
      <c r="R181" s="773">
        <f>-171546.55+48409.71+53758.37+112956+271403.49+72738.28+121855.6</f>
        <v>509574.9</v>
      </c>
      <c r="S181" s="559">
        <f t="shared" si="87"/>
        <v>1280425.1000000001</v>
      </c>
    </row>
    <row r="182" spans="1:19">
      <c r="A182" s="91"/>
      <c r="B182" s="1330"/>
      <c r="C182" s="772" t="s">
        <v>5900</v>
      </c>
      <c r="D182" s="774"/>
      <c r="E182" s="774"/>
      <c r="F182" s="774"/>
      <c r="G182" s="774"/>
      <c r="H182" s="1349">
        <v>300000</v>
      </c>
      <c r="I182" s="774"/>
      <c r="J182" s="774"/>
      <c r="K182" s="774"/>
      <c r="L182" s="774"/>
      <c r="M182" s="774"/>
      <c r="N182" s="774"/>
      <c r="O182" s="774"/>
      <c r="P182" s="774">
        <f t="shared" si="85"/>
        <v>300000</v>
      </c>
      <c r="Q182" s="93">
        <f t="shared" si="86"/>
        <v>300000</v>
      </c>
      <c r="R182" s="773">
        <f>-82492.96+24204.85+26879.18+56478+114389.31-2850.38+9509.74-136607.92</f>
        <v>9509.8199999999779</v>
      </c>
      <c r="S182" s="559">
        <f t="shared" si="87"/>
        <v>290490.18000000005</v>
      </c>
    </row>
    <row r="183" spans="1:19">
      <c r="A183" s="91"/>
      <c r="B183" s="1330">
        <v>10</v>
      </c>
      <c r="C183" s="90" t="s">
        <v>5624</v>
      </c>
      <c r="D183" s="774">
        <v>0</v>
      </c>
      <c r="E183" s="774">
        <v>0</v>
      </c>
      <c r="F183" s="774">
        <v>800000</v>
      </c>
      <c r="G183" s="774">
        <v>200000</v>
      </c>
      <c r="H183" s="774">
        <v>460000</v>
      </c>
      <c r="I183" s="774">
        <v>350000</v>
      </c>
      <c r="J183" s="774">
        <v>200000</v>
      </c>
      <c r="K183" s="774">
        <v>200000</v>
      </c>
      <c r="L183" s="774">
        <v>0</v>
      </c>
      <c r="M183" s="774">
        <v>0</v>
      </c>
      <c r="N183" s="774">
        <v>0</v>
      </c>
      <c r="O183" s="774">
        <v>0</v>
      </c>
      <c r="P183" s="774">
        <f t="shared" si="85"/>
        <v>2210000</v>
      </c>
      <c r="Q183" s="93">
        <f t="shared" si="86"/>
        <v>2210000</v>
      </c>
      <c r="R183" s="93"/>
      <c r="S183" s="559">
        <f t="shared" si="87"/>
        <v>2210000</v>
      </c>
    </row>
    <row r="184" spans="1:19">
      <c r="A184" s="91"/>
      <c r="B184" s="1330"/>
      <c r="C184" s="112" t="s">
        <v>151</v>
      </c>
      <c r="D184" s="131">
        <f t="shared" ref="D184:O184" si="88">SUM(D185:D189)</f>
        <v>2950000</v>
      </c>
      <c r="E184" s="131">
        <f t="shared" si="88"/>
        <v>3450000</v>
      </c>
      <c r="F184" s="131">
        <f t="shared" si="88"/>
        <v>2590000</v>
      </c>
      <c r="G184" s="131">
        <f t="shared" si="88"/>
        <v>900000</v>
      </c>
      <c r="H184" s="131">
        <f t="shared" si="88"/>
        <v>790000</v>
      </c>
      <c r="I184" s="131">
        <f t="shared" si="88"/>
        <v>800000</v>
      </c>
      <c r="J184" s="131">
        <f t="shared" si="88"/>
        <v>1337473</v>
      </c>
      <c r="K184" s="131">
        <f t="shared" si="88"/>
        <v>100000</v>
      </c>
      <c r="L184" s="131">
        <f t="shared" si="88"/>
        <v>0</v>
      </c>
      <c r="M184" s="131">
        <f t="shared" si="88"/>
        <v>0</v>
      </c>
      <c r="N184" s="131">
        <f>SUM(N185:N190)</f>
        <v>6262373</v>
      </c>
      <c r="O184" s="131">
        <f t="shared" si="88"/>
        <v>0</v>
      </c>
      <c r="P184" s="131">
        <f>SUM(P185:P190)</f>
        <v>19179846</v>
      </c>
      <c r="Q184" s="131">
        <f>SUM(Q185:Q190)</f>
        <v>19179846</v>
      </c>
      <c r="R184" s="131">
        <f>SUM(R185:R190)</f>
        <v>8286663.1999999993</v>
      </c>
      <c r="S184" s="131">
        <f>SUM(S185:S190)</f>
        <v>10893182.800000001</v>
      </c>
    </row>
    <row r="185" spans="1:19">
      <c r="A185" s="91"/>
      <c r="B185" s="1330">
        <v>11</v>
      </c>
      <c r="C185" s="90" t="s">
        <v>3263</v>
      </c>
      <c r="D185" s="779">
        <v>350000</v>
      </c>
      <c r="E185" s="779"/>
      <c r="F185" s="779"/>
      <c r="G185" s="779"/>
      <c r="H185" s="1351">
        <v>90000</v>
      </c>
      <c r="I185" s="1351"/>
      <c r="J185" s="1351">
        <v>637473</v>
      </c>
      <c r="K185" s="779"/>
      <c r="L185" s="779"/>
      <c r="M185" s="779"/>
      <c r="N185" s="779"/>
      <c r="O185" s="779"/>
      <c r="P185" s="774">
        <f t="shared" ref="P185:P190" si="89">SUM(D185:O185)</f>
        <v>1077473</v>
      </c>
      <c r="Q185" s="93">
        <f t="shared" ref="Q185:Q190" si="90">SUM(D185:O185)</f>
        <v>1077473</v>
      </c>
      <c r="R185" s="93">
        <f>25110.33+372371.56+392264.05+129816.96-392264.05-129816.96-61451.75+572814.4</f>
        <v>908844.5399999998</v>
      </c>
      <c r="S185" s="559">
        <f t="shared" ref="S185:S190" si="91">+Q185-R185</f>
        <v>168628.4600000002</v>
      </c>
    </row>
    <row r="186" spans="1:19">
      <c r="A186" s="91"/>
      <c r="B186" s="1330">
        <v>12</v>
      </c>
      <c r="C186" s="772" t="s">
        <v>3999</v>
      </c>
      <c r="D186" s="779">
        <v>0</v>
      </c>
      <c r="E186" s="779">
        <v>150000</v>
      </c>
      <c r="F186" s="779">
        <v>200000</v>
      </c>
      <c r="G186" s="779">
        <v>0</v>
      </c>
      <c r="H186" s="779">
        <v>0</v>
      </c>
      <c r="I186" s="779">
        <v>0</v>
      </c>
      <c r="J186" s="779">
        <v>0</v>
      </c>
      <c r="K186" s="779">
        <v>0</v>
      </c>
      <c r="L186" s="779">
        <v>0</v>
      </c>
      <c r="M186" s="779">
        <v>0</v>
      </c>
      <c r="N186" s="779">
        <v>0</v>
      </c>
      <c r="O186" s="779">
        <v>0</v>
      </c>
      <c r="P186" s="774">
        <f t="shared" si="89"/>
        <v>350000</v>
      </c>
      <c r="Q186" s="93">
        <f t="shared" si="90"/>
        <v>350000</v>
      </c>
      <c r="R186" s="93"/>
      <c r="S186" s="559">
        <f t="shared" si="91"/>
        <v>350000</v>
      </c>
    </row>
    <row r="187" spans="1:19">
      <c r="A187" s="91"/>
      <c r="B187" s="1330">
        <v>13</v>
      </c>
      <c r="C187" s="772" t="s">
        <v>4000</v>
      </c>
      <c r="D187" s="779">
        <v>100000</v>
      </c>
      <c r="E187" s="779">
        <v>200000</v>
      </c>
      <c r="F187" s="779">
        <v>100000</v>
      </c>
      <c r="G187" s="779">
        <v>100000</v>
      </c>
      <c r="H187" s="779">
        <v>100000</v>
      </c>
      <c r="I187" s="779">
        <v>200000</v>
      </c>
      <c r="J187" s="779">
        <v>0</v>
      </c>
      <c r="K187" s="779">
        <v>50000</v>
      </c>
      <c r="L187" s="779">
        <v>0</v>
      </c>
      <c r="M187" s="779">
        <v>0</v>
      </c>
      <c r="N187" s="779">
        <v>0</v>
      </c>
      <c r="O187" s="779">
        <v>0</v>
      </c>
      <c r="P187" s="774">
        <f t="shared" si="89"/>
        <v>850000</v>
      </c>
      <c r="Q187" s="93">
        <f t="shared" si="90"/>
        <v>850000</v>
      </c>
      <c r="R187" s="93"/>
      <c r="S187" s="559">
        <f t="shared" si="91"/>
        <v>850000</v>
      </c>
    </row>
    <row r="188" spans="1:19">
      <c r="A188" s="91"/>
      <c r="B188" s="1330">
        <v>14</v>
      </c>
      <c r="C188" s="772" t="s">
        <v>4001</v>
      </c>
      <c r="D188" s="779">
        <v>2500000</v>
      </c>
      <c r="E188" s="779">
        <v>1600000</v>
      </c>
      <c r="F188" s="779">
        <v>890000</v>
      </c>
      <c r="G188" s="779">
        <v>200000</v>
      </c>
      <c r="H188" s="779">
        <v>100000</v>
      </c>
      <c r="I188" s="779">
        <v>0</v>
      </c>
      <c r="J188" s="779">
        <v>0</v>
      </c>
      <c r="K188" s="779">
        <v>50000</v>
      </c>
      <c r="L188" s="779">
        <v>0</v>
      </c>
      <c r="M188" s="779">
        <v>0</v>
      </c>
      <c r="N188" s="779">
        <v>0</v>
      </c>
      <c r="O188" s="779">
        <v>0</v>
      </c>
      <c r="P188" s="774">
        <f t="shared" si="89"/>
        <v>5340000</v>
      </c>
      <c r="Q188" s="93">
        <f t="shared" si="90"/>
        <v>5340000</v>
      </c>
      <c r="R188" s="773">
        <f>114392.1+596796.08+59803.23+222264.92+141670.54+37166.05+213417.56+82673.18+178959.04+19665.83-293954.86+1205280.22</f>
        <v>2578133.8899999997</v>
      </c>
      <c r="S188" s="559">
        <f t="shared" si="91"/>
        <v>2761866.1100000003</v>
      </c>
    </row>
    <row r="189" spans="1:19">
      <c r="A189" s="91"/>
      <c r="B189" s="1330">
        <v>15</v>
      </c>
      <c r="C189" s="90" t="s">
        <v>5625</v>
      </c>
      <c r="D189" s="779">
        <v>0</v>
      </c>
      <c r="E189" s="779">
        <v>1500000</v>
      </c>
      <c r="F189" s="779">
        <v>1400000</v>
      </c>
      <c r="G189" s="779">
        <v>600000</v>
      </c>
      <c r="H189" s="779">
        <v>500000</v>
      </c>
      <c r="I189" s="779">
        <v>600000</v>
      </c>
      <c r="J189" s="779">
        <v>700000</v>
      </c>
      <c r="K189" s="779">
        <v>0</v>
      </c>
      <c r="L189" s="779">
        <v>0</v>
      </c>
      <c r="M189" s="779">
        <v>0</v>
      </c>
      <c r="N189" s="779">
        <v>0</v>
      </c>
      <c r="O189" s="779">
        <v>0</v>
      </c>
      <c r="P189" s="774">
        <f t="shared" si="89"/>
        <v>5300000</v>
      </c>
      <c r="Q189" s="93">
        <f t="shared" si="90"/>
        <v>5300000</v>
      </c>
      <c r="R189" s="93">
        <f>1260193.63+926020.3+797920.81+1815550.03</f>
        <v>4799684.7699999996</v>
      </c>
      <c r="S189" s="559">
        <f t="shared" si="91"/>
        <v>500315.23000000045</v>
      </c>
    </row>
    <row r="190" spans="1:19">
      <c r="A190" s="91"/>
      <c r="B190" s="1330"/>
      <c r="C190" s="90" t="s">
        <v>6811</v>
      </c>
      <c r="D190" s="779"/>
      <c r="E190" s="779"/>
      <c r="F190" s="779"/>
      <c r="G190" s="779"/>
      <c r="H190" s="779"/>
      <c r="I190" s="779"/>
      <c r="J190" s="779"/>
      <c r="K190" s="779"/>
      <c r="L190" s="779"/>
      <c r="M190" s="779"/>
      <c r="N190" s="1351">
        <v>6262373</v>
      </c>
      <c r="O190" s="779"/>
      <c r="P190" s="774">
        <f t="shared" si="89"/>
        <v>6262373</v>
      </c>
      <c r="Q190" s="93">
        <f t="shared" si="90"/>
        <v>6262373</v>
      </c>
      <c r="R190" s="93"/>
      <c r="S190" s="559">
        <f t="shared" si="91"/>
        <v>6262373</v>
      </c>
    </row>
    <row r="191" spans="1:19">
      <c r="A191" s="91"/>
      <c r="B191" s="1330"/>
      <c r="C191" s="112" t="s">
        <v>447</v>
      </c>
      <c r="D191" s="131">
        <f>SUM(D192:D194)</f>
        <v>650000</v>
      </c>
      <c r="E191" s="131">
        <f t="shared" ref="E191:S191" si="92">SUM(E192:E194)</f>
        <v>800000</v>
      </c>
      <c r="F191" s="131">
        <f t="shared" si="92"/>
        <v>1400000</v>
      </c>
      <c r="G191" s="131">
        <f t="shared" si="92"/>
        <v>1700000</v>
      </c>
      <c r="H191" s="131">
        <f t="shared" si="92"/>
        <v>100000</v>
      </c>
      <c r="I191" s="131">
        <f t="shared" si="92"/>
        <v>0</v>
      </c>
      <c r="J191" s="131">
        <f t="shared" si="92"/>
        <v>50000</v>
      </c>
      <c r="K191" s="131">
        <f t="shared" si="92"/>
        <v>0</v>
      </c>
      <c r="L191" s="131">
        <f t="shared" si="92"/>
        <v>0</v>
      </c>
      <c r="M191" s="131">
        <f t="shared" si="92"/>
        <v>0</v>
      </c>
      <c r="N191" s="131">
        <f t="shared" si="92"/>
        <v>0</v>
      </c>
      <c r="O191" s="131">
        <f t="shared" si="92"/>
        <v>0</v>
      </c>
      <c r="P191" s="131">
        <f t="shared" si="92"/>
        <v>4700000</v>
      </c>
      <c r="Q191" s="131">
        <f t="shared" si="92"/>
        <v>4700000</v>
      </c>
      <c r="R191" s="131">
        <f t="shared" si="92"/>
        <v>283232.43</v>
      </c>
      <c r="S191" s="131">
        <f t="shared" si="92"/>
        <v>4416767.57</v>
      </c>
    </row>
    <row r="192" spans="1:19">
      <c r="A192" s="91"/>
      <c r="B192" s="1330">
        <v>16</v>
      </c>
      <c r="C192" s="772" t="s">
        <v>3998</v>
      </c>
      <c r="D192" s="779">
        <v>300000</v>
      </c>
      <c r="E192" s="779">
        <v>350000</v>
      </c>
      <c r="F192" s="779">
        <v>200000</v>
      </c>
      <c r="G192" s="779">
        <v>100000</v>
      </c>
      <c r="H192" s="779">
        <v>100000</v>
      </c>
      <c r="I192" s="779">
        <v>0</v>
      </c>
      <c r="J192" s="779">
        <v>50000</v>
      </c>
      <c r="K192" s="779">
        <v>0</v>
      </c>
      <c r="L192" s="779">
        <v>0</v>
      </c>
      <c r="M192" s="779">
        <v>0</v>
      </c>
      <c r="N192" s="779">
        <v>0</v>
      </c>
      <c r="O192" s="779">
        <v>0</v>
      </c>
      <c r="P192" s="774">
        <f t="shared" ref="P192:P194" si="93">SUM(D192:O192)</f>
        <v>1100000</v>
      </c>
      <c r="Q192" s="93">
        <f t="shared" ref="Q192:Q194" si="94">SUM(D192:O192)</f>
        <v>1100000</v>
      </c>
      <c r="R192" s="93"/>
      <c r="S192" s="559">
        <f t="shared" ref="S192:S194" si="95">+Q192-R192</f>
        <v>1100000</v>
      </c>
    </row>
    <row r="193" spans="1:19">
      <c r="A193" s="91"/>
      <c r="B193" s="1330">
        <v>17</v>
      </c>
      <c r="C193" s="772" t="s">
        <v>4002</v>
      </c>
      <c r="D193" s="779">
        <v>350000</v>
      </c>
      <c r="E193" s="779">
        <v>450000</v>
      </c>
      <c r="F193" s="779">
        <v>0</v>
      </c>
      <c r="G193" s="779">
        <v>0</v>
      </c>
      <c r="H193" s="779">
        <v>0</v>
      </c>
      <c r="I193" s="779">
        <v>0</v>
      </c>
      <c r="J193" s="779">
        <v>0</v>
      </c>
      <c r="K193" s="779">
        <v>0</v>
      </c>
      <c r="L193" s="779">
        <v>0</v>
      </c>
      <c r="M193" s="779">
        <v>0</v>
      </c>
      <c r="N193" s="779">
        <v>0</v>
      </c>
      <c r="O193" s="779">
        <v>0</v>
      </c>
      <c r="P193" s="774">
        <f t="shared" si="93"/>
        <v>800000</v>
      </c>
      <c r="Q193" s="93">
        <f t="shared" si="94"/>
        <v>800000</v>
      </c>
      <c r="R193" s="773">
        <v>283232.43</v>
      </c>
      <c r="S193" s="559">
        <f t="shared" si="95"/>
        <v>516767.57</v>
      </c>
    </row>
    <row r="194" spans="1:19">
      <c r="A194" s="91"/>
      <c r="B194" s="1330">
        <v>18</v>
      </c>
      <c r="C194" s="90" t="s">
        <v>5626</v>
      </c>
      <c r="D194" s="779">
        <v>0</v>
      </c>
      <c r="E194" s="779">
        <v>0</v>
      </c>
      <c r="F194" s="779">
        <v>1200000</v>
      </c>
      <c r="G194" s="779">
        <v>1600000</v>
      </c>
      <c r="H194" s="779">
        <v>0</v>
      </c>
      <c r="I194" s="779">
        <v>0</v>
      </c>
      <c r="J194" s="779">
        <v>0</v>
      </c>
      <c r="K194" s="779">
        <v>0</v>
      </c>
      <c r="L194" s="779">
        <v>0</v>
      </c>
      <c r="M194" s="779">
        <v>0</v>
      </c>
      <c r="N194" s="779">
        <v>0</v>
      </c>
      <c r="O194" s="779">
        <v>0</v>
      </c>
      <c r="P194" s="774">
        <f t="shared" si="93"/>
        <v>2800000</v>
      </c>
      <c r="Q194" s="93">
        <f t="shared" si="94"/>
        <v>2800000</v>
      </c>
      <c r="R194" s="93"/>
      <c r="S194" s="559">
        <f t="shared" si="95"/>
        <v>2800000</v>
      </c>
    </row>
    <row r="195" spans="1:19">
      <c r="A195" s="91"/>
      <c r="B195" s="1330"/>
      <c r="C195" s="112" t="s">
        <v>100</v>
      </c>
      <c r="D195" s="131">
        <f>SUM(D196:D197)</f>
        <v>650000</v>
      </c>
      <c r="E195" s="131">
        <f t="shared" ref="E195:S195" si="96">SUM(E196:E197)</f>
        <v>750000</v>
      </c>
      <c r="F195" s="131">
        <f t="shared" si="96"/>
        <v>200000</v>
      </c>
      <c r="G195" s="131">
        <f t="shared" si="96"/>
        <v>100000</v>
      </c>
      <c r="H195" s="131">
        <f t="shared" si="96"/>
        <v>100000</v>
      </c>
      <c r="I195" s="131">
        <f t="shared" si="96"/>
        <v>0</v>
      </c>
      <c r="J195" s="131">
        <f t="shared" si="96"/>
        <v>50000</v>
      </c>
      <c r="K195" s="131">
        <f t="shared" si="96"/>
        <v>0</v>
      </c>
      <c r="L195" s="131">
        <f t="shared" si="96"/>
        <v>0</v>
      </c>
      <c r="M195" s="131">
        <f t="shared" si="96"/>
        <v>0</v>
      </c>
      <c r="N195" s="131">
        <f t="shared" si="96"/>
        <v>0</v>
      </c>
      <c r="O195" s="131">
        <f t="shared" si="96"/>
        <v>0</v>
      </c>
      <c r="P195" s="131">
        <f t="shared" si="96"/>
        <v>1850000</v>
      </c>
      <c r="Q195" s="131">
        <f t="shared" si="96"/>
        <v>1850000</v>
      </c>
      <c r="R195" s="131">
        <f t="shared" si="96"/>
        <v>0</v>
      </c>
      <c r="S195" s="131">
        <f t="shared" si="96"/>
        <v>1850000</v>
      </c>
    </row>
    <row r="196" spans="1:19">
      <c r="A196" s="91"/>
      <c r="B196" s="1330">
        <v>19</v>
      </c>
      <c r="C196" s="772" t="s">
        <v>4002</v>
      </c>
      <c r="D196" s="779">
        <v>350000</v>
      </c>
      <c r="E196" s="779">
        <v>400000</v>
      </c>
      <c r="F196" s="779">
        <v>0</v>
      </c>
      <c r="G196" s="779">
        <v>0</v>
      </c>
      <c r="H196" s="779">
        <v>0</v>
      </c>
      <c r="I196" s="779">
        <v>0</v>
      </c>
      <c r="J196" s="779">
        <v>0</v>
      </c>
      <c r="K196" s="779">
        <v>0</v>
      </c>
      <c r="L196" s="779">
        <v>0</v>
      </c>
      <c r="M196" s="779">
        <v>0</v>
      </c>
      <c r="N196" s="779">
        <v>0</v>
      </c>
      <c r="O196" s="779">
        <v>0</v>
      </c>
      <c r="P196" s="774">
        <f t="shared" ref="P196:P197" si="97">SUM(D196:O196)</f>
        <v>750000</v>
      </c>
      <c r="Q196" s="93">
        <f t="shared" ref="Q196:Q197" si="98">SUM(D196:O196)</f>
        <v>750000</v>
      </c>
      <c r="R196" s="93"/>
      <c r="S196" s="559">
        <f t="shared" ref="S196:S197" si="99">+Q196-R196</f>
        <v>750000</v>
      </c>
    </row>
    <row r="197" spans="1:19">
      <c r="A197" s="91"/>
      <c r="B197" s="1330">
        <v>20</v>
      </c>
      <c r="C197" s="772" t="s">
        <v>4003</v>
      </c>
      <c r="D197" s="779">
        <v>300000</v>
      </c>
      <c r="E197" s="779">
        <v>350000</v>
      </c>
      <c r="F197" s="779">
        <v>200000</v>
      </c>
      <c r="G197" s="779">
        <v>100000</v>
      </c>
      <c r="H197" s="779">
        <v>100000</v>
      </c>
      <c r="I197" s="779">
        <v>0</v>
      </c>
      <c r="J197" s="779">
        <v>50000</v>
      </c>
      <c r="K197" s="779">
        <v>0</v>
      </c>
      <c r="L197" s="779">
        <v>0</v>
      </c>
      <c r="M197" s="779">
        <v>0</v>
      </c>
      <c r="N197" s="779">
        <v>0</v>
      </c>
      <c r="O197" s="779">
        <v>0</v>
      </c>
      <c r="P197" s="774">
        <f t="shared" si="97"/>
        <v>1100000</v>
      </c>
      <c r="Q197" s="93">
        <f t="shared" si="98"/>
        <v>1100000</v>
      </c>
      <c r="R197" s="93"/>
      <c r="S197" s="559">
        <f t="shared" si="99"/>
        <v>1100000</v>
      </c>
    </row>
    <row r="198" spans="1:19">
      <c r="A198" s="91"/>
      <c r="B198" s="1330"/>
      <c r="C198" s="112" t="s">
        <v>4004</v>
      </c>
      <c r="D198" s="131">
        <f>SUM(D199)</f>
        <v>300000</v>
      </c>
      <c r="E198" s="131">
        <f t="shared" ref="E198:S198" si="100">SUM(E199)</f>
        <v>350000</v>
      </c>
      <c r="F198" s="131">
        <f t="shared" si="100"/>
        <v>200000</v>
      </c>
      <c r="G198" s="131">
        <f t="shared" si="100"/>
        <v>100000</v>
      </c>
      <c r="H198" s="131">
        <f t="shared" si="100"/>
        <v>100000</v>
      </c>
      <c r="I198" s="131">
        <f t="shared" si="100"/>
        <v>0</v>
      </c>
      <c r="J198" s="131">
        <f t="shared" si="100"/>
        <v>50000</v>
      </c>
      <c r="K198" s="131">
        <f t="shared" si="100"/>
        <v>0</v>
      </c>
      <c r="L198" s="131">
        <f t="shared" si="100"/>
        <v>0</v>
      </c>
      <c r="M198" s="131">
        <f t="shared" si="100"/>
        <v>0</v>
      </c>
      <c r="N198" s="131">
        <f t="shared" si="100"/>
        <v>0</v>
      </c>
      <c r="O198" s="131">
        <f t="shared" si="100"/>
        <v>0</v>
      </c>
      <c r="P198" s="131">
        <f t="shared" si="100"/>
        <v>1100000</v>
      </c>
      <c r="Q198" s="131">
        <f t="shared" si="100"/>
        <v>1100000</v>
      </c>
      <c r="R198" s="131">
        <f t="shared" si="100"/>
        <v>0</v>
      </c>
      <c r="S198" s="131">
        <f t="shared" si="100"/>
        <v>1100000</v>
      </c>
    </row>
    <row r="199" spans="1:19">
      <c r="A199" s="91"/>
      <c r="B199" s="1330">
        <v>21</v>
      </c>
      <c r="C199" s="772" t="s">
        <v>3998</v>
      </c>
      <c r="D199" s="779">
        <v>300000</v>
      </c>
      <c r="E199" s="779">
        <v>350000</v>
      </c>
      <c r="F199" s="779">
        <v>200000</v>
      </c>
      <c r="G199" s="779">
        <v>100000</v>
      </c>
      <c r="H199" s="779">
        <v>100000</v>
      </c>
      <c r="I199" s="779">
        <v>0</v>
      </c>
      <c r="J199" s="779">
        <v>50000</v>
      </c>
      <c r="K199" s="779">
        <v>0</v>
      </c>
      <c r="L199" s="779">
        <v>0</v>
      </c>
      <c r="M199" s="779">
        <v>0</v>
      </c>
      <c r="N199" s="779">
        <v>0</v>
      </c>
      <c r="O199" s="779">
        <v>0</v>
      </c>
      <c r="P199" s="774">
        <f>SUM(D199:O199)</f>
        <v>1100000</v>
      </c>
      <c r="Q199" s="93">
        <f>SUM(D199:O199)</f>
        <v>1100000</v>
      </c>
      <c r="R199" s="93"/>
      <c r="S199" s="559">
        <f>+Q199-R199</f>
        <v>1100000</v>
      </c>
    </row>
    <row r="200" spans="1:19">
      <c r="A200" s="91"/>
      <c r="B200" s="1330"/>
      <c r="C200" s="112" t="s">
        <v>4005</v>
      </c>
      <c r="D200" s="131">
        <f>SUM(D201)</f>
        <v>300000</v>
      </c>
      <c r="E200" s="131">
        <f t="shared" ref="E200" si="101">SUM(E201)</f>
        <v>350000</v>
      </c>
      <c r="F200" s="131">
        <f t="shared" ref="F200" si="102">SUM(F201)</f>
        <v>200000</v>
      </c>
      <c r="G200" s="131">
        <f t="shared" ref="G200" si="103">SUM(G201)</f>
        <v>100000</v>
      </c>
      <c r="H200" s="131">
        <f t="shared" ref="H200" si="104">SUM(H201)</f>
        <v>100000</v>
      </c>
      <c r="I200" s="131">
        <f t="shared" ref="I200" si="105">SUM(I201)</f>
        <v>0</v>
      </c>
      <c r="J200" s="131">
        <f t="shared" ref="J200" si="106">SUM(J201)</f>
        <v>50000</v>
      </c>
      <c r="K200" s="131">
        <f t="shared" ref="K200" si="107">SUM(K201)</f>
        <v>0</v>
      </c>
      <c r="L200" s="131">
        <f t="shared" ref="L200" si="108">SUM(L201)</f>
        <v>0</v>
      </c>
      <c r="M200" s="131">
        <f t="shared" ref="M200" si="109">SUM(M201)</f>
        <v>0</v>
      </c>
      <c r="N200" s="131">
        <f t="shared" ref="N200" si="110">SUM(N201)</f>
        <v>0</v>
      </c>
      <c r="O200" s="131">
        <f t="shared" ref="O200" si="111">SUM(O201)</f>
        <v>0</v>
      </c>
      <c r="P200" s="131">
        <f t="shared" ref="P200" si="112">SUM(P201)</f>
        <v>1100000</v>
      </c>
      <c r="Q200" s="131">
        <f t="shared" ref="Q200" si="113">SUM(Q201)</f>
        <v>1100000</v>
      </c>
      <c r="R200" s="131">
        <f t="shared" ref="R200" si="114">SUM(R201)</f>
        <v>0</v>
      </c>
      <c r="S200" s="131">
        <f t="shared" ref="S200" si="115">SUM(S201)</f>
        <v>1100000</v>
      </c>
    </row>
    <row r="201" spans="1:19">
      <c r="A201" s="91"/>
      <c r="B201" s="1330">
        <v>22</v>
      </c>
      <c r="C201" s="772" t="s">
        <v>3998</v>
      </c>
      <c r="D201" s="779">
        <v>300000</v>
      </c>
      <c r="E201" s="779">
        <v>350000</v>
      </c>
      <c r="F201" s="779">
        <v>200000</v>
      </c>
      <c r="G201" s="779">
        <v>100000</v>
      </c>
      <c r="H201" s="779">
        <v>100000</v>
      </c>
      <c r="I201" s="779">
        <v>0</v>
      </c>
      <c r="J201" s="779">
        <v>50000</v>
      </c>
      <c r="K201" s="779">
        <v>0</v>
      </c>
      <c r="L201" s="779">
        <v>0</v>
      </c>
      <c r="M201" s="779">
        <v>0</v>
      </c>
      <c r="N201" s="779">
        <v>0</v>
      </c>
      <c r="O201" s="779">
        <v>0</v>
      </c>
      <c r="P201" s="774">
        <f>SUM(D201:O201)</f>
        <v>1100000</v>
      </c>
      <c r="Q201" s="93">
        <f>SUM(D201:O201)</f>
        <v>1100000</v>
      </c>
      <c r="R201" s="93"/>
      <c r="S201" s="559">
        <f>+Q201-R201</f>
        <v>1100000</v>
      </c>
    </row>
    <row r="202" spans="1:19">
      <c r="A202" s="91"/>
      <c r="B202" s="1330"/>
      <c r="C202" s="112" t="s">
        <v>4006</v>
      </c>
      <c r="D202" s="131">
        <f>SUM(D203)</f>
        <v>300000</v>
      </c>
      <c r="E202" s="131">
        <f t="shared" ref="E202" si="116">SUM(E203)</f>
        <v>350000</v>
      </c>
      <c r="F202" s="131">
        <f t="shared" ref="F202" si="117">SUM(F203)</f>
        <v>200000</v>
      </c>
      <c r="G202" s="131">
        <f t="shared" ref="G202" si="118">SUM(G203)</f>
        <v>100000</v>
      </c>
      <c r="H202" s="131">
        <f t="shared" ref="H202" si="119">SUM(H203)</f>
        <v>100000</v>
      </c>
      <c r="I202" s="131">
        <f t="shared" ref="I202" si="120">SUM(I203)</f>
        <v>0</v>
      </c>
      <c r="J202" s="131">
        <f t="shared" ref="J202" si="121">SUM(J203)</f>
        <v>50000</v>
      </c>
      <c r="K202" s="131">
        <f t="shared" ref="K202" si="122">SUM(K203)</f>
        <v>0</v>
      </c>
      <c r="L202" s="131">
        <f t="shared" ref="L202" si="123">SUM(L203)</f>
        <v>0</v>
      </c>
      <c r="M202" s="131">
        <f t="shared" ref="M202" si="124">SUM(M203)</f>
        <v>0</v>
      </c>
      <c r="N202" s="131">
        <f t="shared" ref="N202" si="125">SUM(N203)</f>
        <v>0</v>
      </c>
      <c r="O202" s="131">
        <f t="shared" ref="O202" si="126">SUM(O203)</f>
        <v>0</v>
      </c>
      <c r="P202" s="131">
        <f t="shared" ref="P202" si="127">SUM(P203)</f>
        <v>1100000</v>
      </c>
      <c r="Q202" s="131">
        <f t="shared" ref="Q202" si="128">SUM(Q203)</f>
        <v>1100000</v>
      </c>
      <c r="R202" s="131">
        <f t="shared" ref="R202" si="129">SUM(R203)</f>
        <v>0</v>
      </c>
      <c r="S202" s="131">
        <f t="shared" ref="S202" si="130">SUM(S203)</f>
        <v>1100000</v>
      </c>
    </row>
    <row r="203" spans="1:19">
      <c r="A203" s="91"/>
      <c r="B203" s="1330">
        <v>23</v>
      </c>
      <c r="C203" s="772" t="s">
        <v>3998</v>
      </c>
      <c r="D203" s="779">
        <v>300000</v>
      </c>
      <c r="E203" s="779">
        <v>350000</v>
      </c>
      <c r="F203" s="779">
        <v>200000</v>
      </c>
      <c r="G203" s="779">
        <v>100000</v>
      </c>
      <c r="H203" s="779">
        <v>100000</v>
      </c>
      <c r="I203" s="779">
        <v>0</v>
      </c>
      <c r="J203" s="779">
        <v>50000</v>
      </c>
      <c r="K203" s="779">
        <v>0</v>
      </c>
      <c r="L203" s="779">
        <v>0</v>
      </c>
      <c r="M203" s="779">
        <v>0</v>
      </c>
      <c r="N203" s="779">
        <v>0</v>
      </c>
      <c r="O203" s="779">
        <v>0</v>
      </c>
      <c r="P203" s="774">
        <f>SUM(D203:O203)</f>
        <v>1100000</v>
      </c>
      <c r="Q203" s="93">
        <f>SUM(D203:O203)</f>
        <v>1100000</v>
      </c>
      <c r="R203" s="93"/>
      <c r="S203" s="559">
        <f>+Q203-R203</f>
        <v>1100000</v>
      </c>
    </row>
    <row r="204" spans="1:19">
      <c r="A204" s="1325"/>
      <c r="B204" s="1325"/>
      <c r="C204" s="90"/>
      <c r="D204" s="1318"/>
      <c r="E204" s="1318"/>
      <c r="F204" s="1318"/>
      <c r="G204" s="1318"/>
      <c r="H204" s="1318"/>
      <c r="I204" s="1318"/>
      <c r="J204" s="1318"/>
      <c r="K204" s="1318"/>
      <c r="L204" s="1318"/>
      <c r="M204" s="1318"/>
      <c r="N204" s="1318"/>
      <c r="O204" s="1318"/>
      <c r="P204" s="1318"/>
      <c r="Q204" s="93"/>
      <c r="R204" s="93"/>
      <c r="S204" s="559"/>
    </row>
    <row r="205" spans="1:19">
      <c r="A205" s="1326"/>
      <c r="B205" s="1326"/>
      <c r="C205" s="112" t="s">
        <v>3264</v>
      </c>
      <c r="D205" s="131">
        <f t="shared" ref="D205:S205" si="131">+D202+D200+D198+D195+D191+D184+D178+D173+D164+D159</f>
        <v>31581500</v>
      </c>
      <c r="E205" s="131">
        <f t="shared" si="131"/>
        <v>38912500</v>
      </c>
      <c r="F205" s="131">
        <f t="shared" si="131"/>
        <v>8567000</v>
      </c>
      <c r="G205" s="131">
        <f t="shared" si="131"/>
        <v>5250000</v>
      </c>
      <c r="H205" s="131">
        <f t="shared" si="131"/>
        <v>11427036</v>
      </c>
      <c r="I205" s="131">
        <f t="shared" si="131"/>
        <v>3800000</v>
      </c>
      <c r="J205" s="131">
        <f t="shared" si="131"/>
        <v>2440000</v>
      </c>
      <c r="K205" s="131">
        <f t="shared" si="131"/>
        <v>550000</v>
      </c>
      <c r="L205" s="131">
        <f t="shared" si="131"/>
        <v>0</v>
      </c>
      <c r="M205" s="131">
        <f t="shared" si="131"/>
        <v>0</v>
      </c>
      <c r="N205" s="131">
        <f t="shared" si="131"/>
        <v>6778308</v>
      </c>
      <c r="O205" s="131">
        <f t="shared" si="131"/>
        <v>0</v>
      </c>
      <c r="P205" s="131">
        <f t="shared" si="131"/>
        <v>110816344</v>
      </c>
      <c r="Q205" s="131">
        <f t="shared" si="131"/>
        <v>110816344</v>
      </c>
      <c r="R205" s="131">
        <f t="shared" si="131"/>
        <v>60210817.50999999</v>
      </c>
      <c r="S205" s="131">
        <f t="shared" si="131"/>
        <v>50605526.49000001</v>
      </c>
    </row>
    <row r="207" spans="1:19">
      <c r="C207" s="775"/>
    </row>
    <row r="209" spans="3:19">
      <c r="S209" s="124"/>
    </row>
    <row r="214" spans="3:19">
      <c r="P214" s="128" t="s">
        <v>997</v>
      </c>
    </row>
    <row r="215" spans="3:19">
      <c r="C215" s="73" t="s">
        <v>5653</v>
      </c>
      <c r="P215" s="124">
        <f>(+P73+P99+P127)/12</f>
        <v>565665.83333333337</v>
      </c>
    </row>
    <row r="216" spans="3:19">
      <c r="C216" s="73" t="s">
        <v>5654</v>
      </c>
      <c r="P216" s="124">
        <f>(+P143-P72-P73-P76-P86-P88-P98-P99-P101-P116-P118-P127)/12</f>
        <v>1957098.442400001</v>
      </c>
    </row>
  </sheetData>
  <mergeCells count="5">
    <mergeCell ref="A2:S2"/>
    <mergeCell ref="A3:S3"/>
    <mergeCell ref="A4:S4"/>
    <mergeCell ref="A8:S8"/>
    <mergeCell ref="A64:S64"/>
  </mergeCells>
  <pageMargins left="0.55118110236220474" right="0.31496062992125984" top="0.70866141732283472" bottom="0.59055118110236227" header="0.11811023622047245" footer="0.11811023622047245"/>
  <pageSetup scale="72" fitToHeight="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D40"/>
  <sheetViews>
    <sheetView workbookViewId="0">
      <selection activeCell="G15" sqref="G15"/>
    </sheetView>
  </sheetViews>
  <sheetFormatPr baseColWidth="10" defaultRowHeight="12.75"/>
  <cols>
    <col min="1" max="1" width="56.5703125" customWidth="1"/>
    <col min="2" max="2" width="18.28515625" customWidth="1"/>
    <col min="3" max="3" width="16.42578125" customWidth="1"/>
    <col min="4" max="4" width="6.28515625" customWidth="1"/>
  </cols>
  <sheetData>
    <row r="2" spans="1:4">
      <c r="A2" s="1563" t="s">
        <v>2987</v>
      </c>
      <c r="B2" s="1561"/>
      <c r="C2" s="1561"/>
    </row>
    <row r="3" spans="1:4">
      <c r="A3" s="1563" t="s">
        <v>3290</v>
      </c>
      <c r="B3" s="1561"/>
      <c r="C3" s="1561"/>
    </row>
    <row r="4" spans="1:4">
      <c r="A4" s="1561" t="s">
        <v>97</v>
      </c>
      <c r="B4" s="1561"/>
      <c r="C4" s="1561"/>
    </row>
    <row r="5" spans="1:4">
      <c r="A5" s="2"/>
    </row>
    <row r="6" spans="1:4">
      <c r="A6" s="2"/>
    </row>
    <row r="7" spans="1:4">
      <c r="A7" s="2"/>
    </row>
    <row r="8" spans="1:4">
      <c r="A8" s="82" t="s">
        <v>148</v>
      </c>
      <c r="B8" s="81" t="s">
        <v>25</v>
      </c>
      <c r="C8" s="132" t="s">
        <v>236</v>
      </c>
    </row>
    <row r="9" spans="1:4" s="2" customFormat="1">
      <c r="A9" s="35" t="s">
        <v>169</v>
      </c>
      <c r="B9" s="80">
        <f>+'VARIACIONES EGRESOS'!Q9</f>
        <v>19299621.387999997</v>
      </c>
      <c r="C9" s="80">
        <f>+'VARIACIONES EGRESOS'!R9</f>
        <v>15074778.560000001</v>
      </c>
      <c r="D9" s="44"/>
    </row>
    <row r="10" spans="1:4" s="2" customFormat="1">
      <c r="A10" s="35" t="s">
        <v>167</v>
      </c>
      <c r="B10" s="80">
        <f>+'VARIACIONES EGRESOS'!Q20</f>
        <v>796100</v>
      </c>
      <c r="C10" s="80">
        <f>+'VARIACIONES EGRESOS'!R20</f>
        <v>347734.57</v>
      </c>
      <c r="D10" s="44"/>
    </row>
    <row r="11" spans="1:4" s="2" customFormat="1">
      <c r="A11" s="35" t="s">
        <v>168</v>
      </c>
      <c r="B11" s="80">
        <f>+'VARIACIONES EGRESOS'!Q28</f>
        <v>21557886.515479997</v>
      </c>
      <c r="C11" s="80">
        <f>+'VARIACIONES EGRESOS'!R28</f>
        <v>8055970.5700000003</v>
      </c>
      <c r="D11" s="44"/>
    </row>
    <row r="12" spans="1:4">
      <c r="A12" s="16"/>
      <c r="B12" s="84"/>
      <c r="C12" s="84"/>
      <c r="D12" s="44"/>
    </row>
    <row r="13" spans="1:4" s="2" customFormat="1">
      <c r="A13" s="24" t="s">
        <v>153</v>
      </c>
      <c r="B13" s="83">
        <f>SUM(B9:B11)</f>
        <v>41653607.903479993</v>
      </c>
      <c r="C13" s="83">
        <f>SUM(C9:C11)</f>
        <v>23478483.700000003</v>
      </c>
      <c r="D13" s="44"/>
    </row>
    <row r="14" spans="1:4">
      <c r="A14" s="2"/>
    </row>
    <row r="15" spans="1:4">
      <c r="A15" s="2"/>
    </row>
    <row r="17" spans="4:4" s="2" customFormat="1">
      <c r="D17" s="44"/>
    </row>
    <row r="18" spans="4:4" s="2" customFormat="1">
      <c r="D18" s="44"/>
    </row>
    <row r="19" spans="4:4" s="2" customFormat="1">
      <c r="D19" s="44"/>
    </row>
    <row r="20" spans="4:4">
      <c r="D20" s="44"/>
    </row>
    <row r="21" spans="4:4">
      <c r="D21" s="44"/>
    </row>
    <row r="36" spans="1:3">
      <c r="A36" s="47" t="s">
        <v>12</v>
      </c>
      <c r="B36" s="81" t="s">
        <v>25</v>
      </c>
      <c r="C36" s="132" t="s">
        <v>236</v>
      </c>
    </row>
    <row r="37" spans="1:3">
      <c r="A37" s="35" t="s">
        <v>167</v>
      </c>
      <c r="B37" s="85">
        <f>+'VARIACIONES EGRESOS'!Q67</f>
        <v>1063271.0400000003</v>
      </c>
      <c r="C37" s="85">
        <f>+'VARIACIONES EGRESOS'!R67</f>
        <v>382059.14</v>
      </c>
    </row>
    <row r="38" spans="1:3">
      <c r="A38" s="35" t="s">
        <v>168</v>
      </c>
      <c r="B38" s="80">
        <f>+'VARIACIONES EGRESOS'!Q70+'VARIACIONES EGRESOS'!Q84+'VARIACIONES EGRESOS'!Q96+'VARIACIONES EGRESOS'!Q106+'VARIACIONES EGRESOS'!Q114+'VARIACIONES EGRESOS'!Q125</f>
        <v>95770760.764800012</v>
      </c>
      <c r="C38" s="80">
        <f>+'VARIACIONES EGRESOS'!R70+'VARIACIONES EGRESOS'!R84+'VARIACIONES EGRESOS'!R96+'VARIACIONES EGRESOS'!R106+'VARIACIONES EGRESOS'!R114+'VARIACIONES EGRESOS'!R125</f>
        <v>27054428.339999996</v>
      </c>
    </row>
    <row r="39" spans="1:3">
      <c r="A39" s="35"/>
      <c r="B39" s="80"/>
      <c r="C39" s="80"/>
    </row>
    <row r="40" spans="1:3">
      <c r="A40" s="72" t="s">
        <v>181</v>
      </c>
      <c r="B40" s="83">
        <f>SUM(B37:B39)</f>
        <v>96834031.804800019</v>
      </c>
      <c r="C40" s="83">
        <f>SUM(C37:C39)</f>
        <v>27436487.479999997</v>
      </c>
    </row>
  </sheetData>
  <mergeCells count="3">
    <mergeCell ref="A4:C4"/>
    <mergeCell ref="A2:C2"/>
    <mergeCell ref="A3:C3"/>
  </mergeCells>
  <pageMargins left="1.0629921259842521" right="0.35433070866141736" top="0.43307086614173229" bottom="0.27559055118110237" header="0" footer="0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U104"/>
  <sheetViews>
    <sheetView topLeftCell="A13" zoomScaleNormal="100" workbookViewId="0">
      <selection activeCell="C68" sqref="C68"/>
    </sheetView>
  </sheetViews>
  <sheetFormatPr baseColWidth="10" defaultRowHeight="12.75"/>
  <cols>
    <col min="1" max="1" width="5.42578125" customWidth="1"/>
    <col min="2" max="2" width="74" customWidth="1"/>
    <col min="3" max="3" width="15.85546875" style="13" bestFit="1" customWidth="1"/>
    <col min="4" max="4" width="49.85546875" style="7" customWidth="1"/>
    <col min="5" max="6" width="12.85546875" style="4" bestFit="1" customWidth="1"/>
  </cols>
  <sheetData>
    <row r="1" spans="1:21" ht="15.75">
      <c r="A1" s="1560" t="s">
        <v>2987</v>
      </c>
      <c r="B1" s="1560"/>
      <c r="C1" s="1560"/>
      <c r="D1" s="73"/>
      <c r="E1" s="731"/>
      <c r="F1" s="731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3"/>
      <c r="U1" s="73"/>
    </row>
    <row r="2" spans="1:21" ht="15">
      <c r="A2" s="1559" t="s">
        <v>161</v>
      </c>
      <c r="B2" s="1559"/>
      <c r="C2" s="1559"/>
      <c r="D2" s="70"/>
      <c r="E2" s="732"/>
      <c r="F2" s="732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5">
      <c r="A3" s="1559" t="str">
        <f>+'VARIACIONES EGRESOS'!A4:S4</f>
        <v>ACUMULADO AL MES DE DICIEMBRE DE 2021</v>
      </c>
      <c r="B3" s="1559"/>
      <c r="C3" s="1559"/>
      <c r="D3" s="70"/>
      <c r="E3" s="732"/>
      <c r="F3" s="732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>
      <c r="A4" s="73"/>
      <c r="B4" s="73"/>
      <c r="C4" s="73"/>
      <c r="D4" s="73"/>
      <c r="E4" s="731"/>
      <c r="F4" s="731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3"/>
      <c r="U4" s="73"/>
    </row>
    <row r="5" spans="1:21">
      <c r="A5" s="592"/>
      <c r="B5" s="622"/>
      <c r="C5" s="623"/>
    </row>
    <row r="7" spans="1:21" s="2" customFormat="1">
      <c r="A7" s="47" t="s">
        <v>14</v>
      </c>
      <c r="B7" s="48"/>
      <c r="C7" s="59"/>
      <c r="D7" s="15"/>
      <c r="E7" s="733"/>
      <c r="F7" s="733"/>
    </row>
    <row r="8" spans="1:21" s="2" customFormat="1">
      <c r="A8" s="35"/>
      <c r="C8" s="39"/>
      <c r="D8" s="15"/>
      <c r="E8" s="733"/>
      <c r="F8" s="733"/>
    </row>
    <row r="9" spans="1:21" s="2" customFormat="1">
      <c r="A9" s="24" t="s">
        <v>79</v>
      </c>
      <c r="B9" s="25"/>
      <c r="C9" s="40">
        <f>SUM(C10:C13)</f>
        <v>77144434.390000015</v>
      </c>
      <c r="D9" s="15"/>
      <c r="E9" s="733"/>
      <c r="F9" s="733"/>
    </row>
    <row r="10" spans="1:21">
      <c r="A10" s="16"/>
      <c r="B10" t="s">
        <v>22</v>
      </c>
      <c r="C10" s="41">
        <v>66967123.079999998</v>
      </c>
      <c r="D10" s="26"/>
    </row>
    <row r="11" spans="1:21">
      <c r="A11" s="16"/>
      <c r="B11" t="s">
        <v>78</v>
      </c>
      <c r="C11" s="41">
        <v>3544260.68</v>
      </c>
      <c r="D11" s="26"/>
    </row>
    <row r="12" spans="1:21">
      <c r="A12" s="16"/>
      <c r="B12" t="s">
        <v>29</v>
      </c>
      <c r="C12" s="41">
        <v>6610920.3399999999</v>
      </c>
      <c r="D12" s="26"/>
    </row>
    <row r="13" spans="1:21">
      <c r="A13" s="16"/>
      <c r="B13" s="73" t="s">
        <v>77</v>
      </c>
      <c r="C13" s="41">
        <v>22130.29</v>
      </c>
      <c r="D13" s="26"/>
    </row>
    <row r="14" spans="1:21" s="2" customFormat="1">
      <c r="A14" s="24" t="s">
        <v>80</v>
      </c>
      <c r="B14" s="25"/>
      <c r="C14" s="40">
        <f>SUM(C15:C17)</f>
        <v>5208939.1399999997</v>
      </c>
      <c r="D14" s="15"/>
      <c r="E14" s="733"/>
      <c r="F14" s="733"/>
    </row>
    <row r="15" spans="1:21">
      <c r="A15" s="16"/>
      <c r="B15" t="s">
        <v>22</v>
      </c>
      <c r="C15" s="41">
        <v>3583567.76</v>
      </c>
      <c r="D15" s="26"/>
    </row>
    <row r="16" spans="1:21">
      <c r="A16" s="16"/>
      <c r="B16" t="s">
        <v>29</v>
      </c>
      <c r="C16" s="41">
        <v>1569954.13</v>
      </c>
      <c r="D16" s="26"/>
    </row>
    <row r="17" spans="1:6">
      <c r="A17" s="16"/>
      <c r="B17" t="s">
        <v>88</v>
      </c>
      <c r="C17" s="41">
        <v>55417.25</v>
      </c>
      <c r="D17" s="26"/>
    </row>
    <row r="18" spans="1:6" s="2" customFormat="1">
      <c r="A18" s="24" t="s">
        <v>28</v>
      </c>
      <c r="B18" s="25"/>
      <c r="C18" s="40">
        <f>SUM(C19:C22)</f>
        <v>8137212.0599999996</v>
      </c>
      <c r="D18" s="15"/>
      <c r="E18" s="733"/>
      <c r="F18" s="733"/>
    </row>
    <row r="19" spans="1:6">
      <c r="A19" s="16"/>
      <c r="B19" t="s">
        <v>22</v>
      </c>
      <c r="C19" s="41">
        <v>6891533.5099999998</v>
      </c>
      <c r="D19" s="26"/>
    </row>
    <row r="20" spans="1:6">
      <c r="A20" s="16"/>
      <c r="B20" t="s">
        <v>78</v>
      </c>
      <c r="C20" s="41">
        <v>440688.3</v>
      </c>
      <c r="D20" s="26"/>
    </row>
    <row r="21" spans="1:6">
      <c r="A21" s="16"/>
      <c r="B21" t="s">
        <v>29</v>
      </c>
      <c r="C21" s="41">
        <v>747163.69</v>
      </c>
      <c r="D21" s="26"/>
    </row>
    <row r="22" spans="1:6">
      <c r="A22" s="16"/>
      <c r="B22" s="73" t="s">
        <v>5655</v>
      </c>
      <c r="C22" s="1333">
        <v>57826.559999999998</v>
      </c>
      <c r="D22" s="26"/>
    </row>
    <row r="23" spans="1:6" s="2" customFormat="1">
      <c r="A23" s="24" t="s">
        <v>13</v>
      </c>
      <c r="B23" s="25"/>
      <c r="C23" s="40">
        <f>SUM(C24:C26)</f>
        <v>637561.90999999992</v>
      </c>
      <c r="D23" s="15"/>
      <c r="E23" s="733"/>
      <c r="F23" s="733"/>
    </row>
    <row r="24" spans="1:6">
      <c r="A24" s="16"/>
      <c r="B24" t="s">
        <v>22</v>
      </c>
      <c r="C24" s="41">
        <v>365560.68</v>
      </c>
      <c r="D24" s="26"/>
    </row>
    <row r="25" spans="1:6">
      <c r="A25" s="16"/>
      <c r="B25" t="s">
        <v>29</v>
      </c>
      <c r="C25" s="41">
        <v>271463.51</v>
      </c>
      <c r="D25" s="26"/>
    </row>
    <row r="26" spans="1:6">
      <c r="A26" s="16"/>
      <c r="B26" t="s">
        <v>77</v>
      </c>
      <c r="C26" s="41">
        <v>537.72</v>
      </c>
      <c r="D26" s="26"/>
    </row>
    <row r="27" spans="1:6">
      <c r="A27" s="24" t="s">
        <v>159</v>
      </c>
      <c r="B27" s="25"/>
      <c r="C27" s="40">
        <f>SUM(C28:C30)</f>
        <v>2337722.75</v>
      </c>
      <c r="D27" s="26"/>
    </row>
    <row r="28" spans="1:6">
      <c r="A28" s="35"/>
      <c r="B28" s="73" t="s">
        <v>78</v>
      </c>
      <c r="C28" s="41">
        <v>813155.69</v>
      </c>
      <c r="D28" s="26"/>
    </row>
    <row r="29" spans="1:6">
      <c r="A29" s="16"/>
      <c r="B29" t="s">
        <v>29</v>
      </c>
      <c r="C29" s="41">
        <v>1499214.87</v>
      </c>
      <c r="D29" s="26"/>
    </row>
    <row r="30" spans="1:6">
      <c r="A30" s="16"/>
      <c r="B30" t="s">
        <v>77</v>
      </c>
      <c r="C30" s="41">
        <v>25352.19</v>
      </c>
      <c r="D30" s="26"/>
    </row>
    <row r="31" spans="1:6">
      <c r="A31" s="134" t="s">
        <v>6522</v>
      </c>
      <c r="B31" s="25"/>
      <c r="C31" s="40">
        <f>SUM(C32)</f>
        <v>0</v>
      </c>
      <c r="D31" s="26"/>
    </row>
    <row r="32" spans="1:6">
      <c r="A32" s="1403"/>
      <c r="B32" s="1325" t="s">
        <v>77</v>
      </c>
      <c r="C32" s="777"/>
      <c r="D32" s="26"/>
    </row>
    <row r="33" spans="1:6">
      <c r="A33" s="1403"/>
      <c r="B33" s="1404"/>
      <c r="C33" s="1405"/>
      <c r="D33" s="26"/>
    </row>
    <row r="34" spans="1:6" s="2" customFormat="1">
      <c r="A34" s="24" t="s">
        <v>30</v>
      </c>
      <c r="B34" s="25"/>
      <c r="C34" s="71">
        <f>+C23+C18+C14+C9+C27+C31</f>
        <v>93465870.250000015</v>
      </c>
      <c r="D34" s="15"/>
      <c r="E34" s="733"/>
      <c r="F34" s="733"/>
    </row>
    <row r="35" spans="1:6" s="2" customFormat="1">
      <c r="C35" s="9"/>
      <c r="D35" s="15"/>
      <c r="E35" s="733"/>
      <c r="F35" s="733"/>
    </row>
    <row r="36" spans="1:6">
      <c r="D36" s="26"/>
    </row>
    <row r="37" spans="1:6">
      <c r="A37" s="47" t="s">
        <v>23</v>
      </c>
      <c r="B37" s="48"/>
      <c r="C37" s="59"/>
      <c r="D37" s="26"/>
    </row>
    <row r="38" spans="1:6">
      <c r="A38" s="35"/>
      <c r="B38" s="73"/>
      <c r="C38" s="49"/>
      <c r="D38" s="26"/>
    </row>
    <row r="39" spans="1:6">
      <c r="A39" s="35"/>
      <c r="B39" s="73"/>
      <c r="C39" s="51"/>
      <c r="D39" s="26"/>
    </row>
    <row r="40" spans="1:6">
      <c r="A40" s="16"/>
      <c r="C40" s="41"/>
      <c r="D40" s="26"/>
    </row>
    <row r="41" spans="1:6">
      <c r="A41" s="24" t="s">
        <v>48</v>
      </c>
      <c r="B41" s="25"/>
      <c r="C41" s="71">
        <f>SUM(C38:C40)</f>
        <v>0</v>
      </c>
      <c r="D41" s="26"/>
    </row>
    <row r="42" spans="1:6">
      <c r="A42" s="2"/>
      <c r="B42" s="2"/>
      <c r="C42" s="121"/>
      <c r="D42" s="26"/>
    </row>
    <row r="43" spans="1:6">
      <c r="A43" s="515" t="s">
        <v>0</v>
      </c>
      <c r="B43" s="48"/>
      <c r="C43" s="59"/>
      <c r="D43" s="26"/>
    </row>
    <row r="44" spans="1:6">
      <c r="A44" s="35"/>
      <c r="B44" s="1569" t="s">
        <v>6250</v>
      </c>
      <c r="C44" s="1332">
        <v>4568337.2</v>
      </c>
      <c r="D44" s="26"/>
    </row>
    <row r="45" spans="1:6">
      <c r="A45" s="35"/>
      <c r="B45" s="1570"/>
      <c r="C45" s="51"/>
      <c r="D45" s="26"/>
    </row>
    <row r="46" spans="1:6">
      <c r="A46" s="16"/>
      <c r="C46" s="41"/>
      <c r="D46" s="26"/>
    </row>
    <row r="47" spans="1:6">
      <c r="A47" s="134" t="s">
        <v>1</v>
      </c>
      <c r="B47" s="25"/>
      <c r="C47" s="71">
        <f>SUM(C44:C46)</f>
        <v>4568337.2</v>
      </c>
      <c r="D47" s="26"/>
    </row>
    <row r="48" spans="1:6">
      <c r="A48" s="2"/>
      <c r="B48" s="2"/>
      <c r="C48" s="9"/>
      <c r="D48" s="26"/>
    </row>
    <row r="49" spans="1:6">
      <c r="D49" s="26"/>
    </row>
    <row r="50" spans="1:6" s="2" customFormat="1">
      <c r="A50" s="47" t="s">
        <v>91</v>
      </c>
      <c r="B50" s="48"/>
      <c r="C50" s="59"/>
      <c r="D50" s="15"/>
      <c r="E50" s="733"/>
      <c r="F50" s="733"/>
    </row>
    <row r="51" spans="1:6">
      <c r="A51" s="16"/>
      <c r="B51" s="73" t="s">
        <v>162</v>
      </c>
      <c r="C51" s="42">
        <v>7701956.3799999999</v>
      </c>
      <c r="D51" s="26"/>
    </row>
    <row r="52" spans="1:6">
      <c r="A52" s="16"/>
      <c r="B52" s="73" t="s">
        <v>163</v>
      </c>
      <c r="C52" s="41">
        <v>329580.78000000003</v>
      </c>
      <c r="D52" s="26"/>
    </row>
    <row r="53" spans="1:6">
      <c r="A53" s="16"/>
      <c r="B53" s="73" t="s">
        <v>1035</v>
      </c>
      <c r="C53" s="41">
        <v>0</v>
      </c>
      <c r="D53" s="26"/>
    </row>
    <row r="54" spans="1:6">
      <c r="A54" s="16"/>
      <c r="B54" s="73" t="s">
        <v>205</v>
      </c>
      <c r="C54" s="41">
        <v>172995.23</v>
      </c>
      <c r="D54" s="26"/>
    </row>
    <row r="55" spans="1:6" ht="12.75" customHeight="1">
      <c r="A55" s="16"/>
      <c r="B55" s="511" t="s">
        <v>186</v>
      </c>
      <c r="C55" s="512">
        <v>47743.92</v>
      </c>
      <c r="D55" s="26"/>
    </row>
    <row r="56" spans="1:6">
      <c r="A56" s="16"/>
      <c r="C56" s="41"/>
      <c r="D56" s="26"/>
    </row>
    <row r="57" spans="1:6" s="2" customFormat="1">
      <c r="A57" s="24" t="s">
        <v>165</v>
      </c>
      <c r="B57" s="25"/>
      <c r="C57" s="71">
        <f>SUM(C51:C56)</f>
        <v>8252276.3100000005</v>
      </c>
      <c r="D57" s="15"/>
      <c r="E57" s="733"/>
      <c r="F57" s="733"/>
    </row>
    <row r="58" spans="1:6">
      <c r="D58" s="26"/>
    </row>
    <row r="59" spans="1:6">
      <c r="A59" s="515" t="s">
        <v>1040</v>
      </c>
      <c r="B59" s="48"/>
      <c r="C59" s="59"/>
      <c r="D59" s="26"/>
    </row>
    <row r="60" spans="1:6">
      <c r="A60" s="35"/>
      <c r="B60" s="73"/>
      <c r="C60" s="49"/>
      <c r="D60" s="26"/>
    </row>
    <row r="61" spans="1:6">
      <c r="A61" s="35"/>
      <c r="B61" s="73"/>
      <c r="C61" s="51">
        <v>0</v>
      </c>
      <c r="D61" s="26"/>
    </row>
    <row r="62" spans="1:6">
      <c r="A62" s="16"/>
      <c r="C62" s="41"/>
      <c r="D62" s="26"/>
    </row>
    <row r="63" spans="1:6">
      <c r="A63" s="134" t="s">
        <v>1041</v>
      </c>
      <c r="B63" s="25"/>
      <c r="C63" s="71">
        <f>SUM(C60:C62)</f>
        <v>0</v>
      </c>
      <c r="D63" s="26"/>
    </row>
    <row r="64" spans="1:6">
      <c r="A64" s="24"/>
      <c r="B64" s="25"/>
      <c r="C64" s="71"/>
      <c r="D64" s="26"/>
    </row>
    <row r="65" spans="1:15">
      <c r="A65" s="47" t="s">
        <v>93</v>
      </c>
      <c r="B65" s="48"/>
      <c r="C65" s="61">
        <f>+C57+C41+C34+C63+C47</f>
        <v>106286483.76000002</v>
      </c>
      <c r="D65" s="26"/>
    </row>
    <row r="66" spans="1:15">
      <c r="D66" s="26"/>
    </row>
    <row r="67" spans="1:15">
      <c r="D67" s="26"/>
    </row>
    <row r="68" spans="1:15">
      <c r="D68" s="26"/>
    </row>
    <row r="69" spans="1:15">
      <c r="D69" s="26"/>
      <c r="N69" s="4"/>
    </row>
    <row r="70" spans="1:15">
      <c r="D70" s="26"/>
      <c r="N70" s="4"/>
    </row>
    <row r="71" spans="1:15">
      <c r="D71" s="26"/>
      <c r="N71" s="4"/>
    </row>
    <row r="72" spans="1:15">
      <c r="D72" s="26"/>
      <c r="N72" s="4"/>
    </row>
    <row r="73" spans="1:15">
      <c r="N73" s="4"/>
      <c r="O73" s="74"/>
    </row>
    <row r="74" spans="1:15">
      <c r="D74" s="26"/>
    </row>
    <row r="75" spans="1:15">
      <c r="D75" s="26"/>
      <c r="N75" s="74"/>
    </row>
    <row r="76" spans="1:15">
      <c r="D76" s="26"/>
    </row>
    <row r="77" spans="1:15">
      <c r="D77" s="26"/>
    </row>
    <row r="79" spans="1:15">
      <c r="D79" s="26"/>
    </row>
    <row r="80" spans="1:15">
      <c r="D80" s="26"/>
    </row>
    <row r="81" spans="3:6">
      <c r="D81" s="26"/>
    </row>
    <row r="82" spans="3:6">
      <c r="D82" s="26"/>
    </row>
    <row r="83" spans="3:6">
      <c r="D83" s="26"/>
    </row>
    <row r="84" spans="3:6">
      <c r="D84" s="26"/>
    </row>
    <row r="85" spans="3:6">
      <c r="D85" s="26"/>
    </row>
    <row r="86" spans="3:6">
      <c r="D86" s="26"/>
    </row>
    <row r="87" spans="3:6">
      <c r="D87" s="26"/>
    </row>
    <row r="88" spans="3:6">
      <c r="D88" s="26"/>
    </row>
    <row r="89" spans="3:6">
      <c r="D89" s="26"/>
    </row>
    <row r="90" spans="3:6">
      <c r="D90" s="26"/>
    </row>
    <row r="91" spans="3:6">
      <c r="D91" s="26"/>
    </row>
    <row r="92" spans="3:6">
      <c r="D92" s="26"/>
    </row>
    <row r="93" spans="3:6">
      <c r="D93" s="26"/>
    </row>
    <row r="94" spans="3:6">
      <c r="D94" s="26"/>
    </row>
    <row r="95" spans="3:6" s="2" customFormat="1">
      <c r="C95" s="43"/>
      <c r="D95" s="7"/>
      <c r="E95" s="733"/>
      <c r="F95" s="733"/>
    </row>
    <row r="97" spans="3:6">
      <c r="D97" s="26"/>
    </row>
    <row r="98" spans="3:6">
      <c r="D98" s="26"/>
    </row>
    <row r="99" spans="3:6">
      <c r="D99" s="26"/>
    </row>
    <row r="100" spans="3:6">
      <c r="D100" s="26"/>
    </row>
    <row r="101" spans="3:6">
      <c r="D101" s="26"/>
    </row>
    <row r="102" spans="3:6">
      <c r="D102" s="26"/>
    </row>
    <row r="104" spans="3:6" s="2" customFormat="1">
      <c r="C104" s="9"/>
      <c r="D104" s="7"/>
      <c r="E104" s="733"/>
      <c r="F104" s="733"/>
    </row>
  </sheetData>
  <mergeCells count="4">
    <mergeCell ref="A2:C2"/>
    <mergeCell ref="A3:C3"/>
    <mergeCell ref="A1:C1"/>
    <mergeCell ref="B44:B45"/>
  </mergeCells>
  <phoneticPr fontId="14" type="noConversion"/>
  <pageMargins left="1.07" right="0.57999999999999996" top="1.01" bottom="1" header="0" footer="0"/>
  <pageSetup scale="84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D75"/>
  <sheetViews>
    <sheetView zoomScaleNormal="100" workbookViewId="0">
      <selection activeCell="C65" sqref="C65"/>
    </sheetView>
  </sheetViews>
  <sheetFormatPr baseColWidth="10" defaultRowHeight="12.75"/>
  <cols>
    <col min="1" max="1" width="5.42578125" customWidth="1"/>
    <col min="2" max="2" width="73" customWidth="1"/>
    <col min="3" max="3" width="14.85546875" style="13" bestFit="1" customWidth="1"/>
    <col min="4" max="4" width="49.85546875" style="7" customWidth="1"/>
  </cols>
  <sheetData>
    <row r="1" spans="1:4" ht="15.75">
      <c r="A1" s="1560" t="s">
        <v>2987</v>
      </c>
      <c r="B1" s="1560"/>
      <c r="C1" s="1560"/>
    </row>
    <row r="2" spans="1:4" ht="15">
      <c r="A2" s="1559" t="s">
        <v>166</v>
      </c>
      <c r="B2" s="1559"/>
      <c r="C2" s="1559"/>
    </row>
    <row r="3" spans="1:4" ht="15">
      <c r="A3" s="1559" t="str">
        <f>+'VARIACIONES EGRESOS'!A4:S4</f>
        <v>ACUMULADO AL MES DE DICIEMBRE DE 2021</v>
      </c>
      <c r="B3" s="1559"/>
      <c r="C3" s="1559"/>
    </row>
    <row r="4" spans="1:4" ht="15">
      <c r="A4" s="505"/>
      <c r="B4" s="505"/>
      <c r="C4" s="505"/>
    </row>
    <row r="5" spans="1:4">
      <c r="A5" s="624"/>
      <c r="B5" s="625"/>
      <c r="C5" s="626"/>
    </row>
    <row r="7" spans="1:4">
      <c r="A7" s="133" t="s">
        <v>233</v>
      </c>
      <c r="B7" s="60"/>
      <c r="C7" s="61"/>
    </row>
    <row r="8" spans="1:4">
      <c r="A8" s="35"/>
      <c r="B8" s="73" t="s">
        <v>169</v>
      </c>
      <c r="C8" s="49">
        <f>+'VARIACIONES EGRESOS'!R9</f>
        <v>15074778.560000001</v>
      </c>
    </row>
    <row r="9" spans="1:4">
      <c r="A9" s="35"/>
      <c r="B9" s="73" t="s">
        <v>167</v>
      </c>
      <c r="C9" s="51">
        <f>+'VARIACIONES EGRESOS'!R20</f>
        <v>347734.57</v>
      </c>
    </row>
    <row r="10" spans="1:4">
      <c r="A10" s="35"/>
      <c r="B10" s="73" t="s">
        <v>168</v>
      </c>
      <c r="C10" s="51">
        <f>+'VARIACIONES EGRESOS'!R28</f>
        <v>8055970.5700000003</v>
      </c>
    </row>
    <row r="11" spans="1:4">
      <c r="A11" s="35"/>
      <c r="B11" s="73" t="s">
        <v>1913</v>
      </c>
      <c r="C11" s="51">
        <f>+'VARIACIONES EGRESOS'!R54</f>
        <v>794214.88</v>
      </c>
    </row>
    <row r="12" spans="1:4">
      <c r="A12" s="134" t="s">
        <v>237</v>
      </c>
      <c r="B12" s="25"/>
      <c r="C12" s="71">
        <f>SUM(C8:C11)</f>
        <v>24272698.580000002</v>
      </c>
    </row>
    <row r="14" spans="1:4" s="2" customFormat="1">
      <c r="A14" s="47" t="s">
        <v>12</v>
      </c>
      <c r="B14" s="48"/>
      <c r="C14" s="59"/>
      <c r="D14" s="15"/>
    </row>
    <row r="15" spans="1:4" s="2" customFormat="1">
      <c r="A15" s="35"/>
      <c r="C15" s="39"/>
      <c r="D15" s="15"/>
    </row>
    <row r="16" spans="1:4" s="2" customFormat="1">
      <c r="A16" s="24" t="s">
        <v>79</v>
      </c>
      <c r="B16" s="25"/>
      <c r="C16" s="40">
        <f>SUM(C17:C19)</f>
        <v>15402434.23</v>
      </c>
      <c r="D16" s="15"/>
    </row>
    <row r="17" spans="1:4" s="2" customFormat="1">
      <c r="A17" s="35"/>
      <c r="B17" s="73" t="s">
        <v>167</v>
      </c>
      <c r="C17" s="51">
        <f>+'VARIACIONES EGRESOS'!R67</f>
        <v>382059.14</v>
      </c>
      <c r="D17" s="15"/>
    </row>
    <row r="18" spans="1:4">
      <c r="A18" s="16"/>
      <c r="B18" s="73" t="s">
        <v>168</v>
      </c>
      <c r="C18" s="41">
        <f>+'VARIACIONES EGRESOS'!R70</f>
        <v>15020375.09</v>
      </c>
      <c r="D18" s="26"/>
    </row>
    <row r="19" spans="1:4">
      <c r="A19" s="16"/>
      <c r="C19" s="41"/>
      <c r="D19" s="26"/>
    </row>
    <row r="20" spans="1:4" s="2" customFormat="1">
      <c r="A20" s="24" t="s">
        <v>80</v>
      </c>
      <c r="B20" s="25"/>
      <c r="C20" s="40">
        <f>SUM(C21:C23)</f>
        <v>3555001.16</v>
      </c>
      <c r="D20" s="15"/>
    </row>
    <row r="21" spans="1:4" s="2" customFormat="1">
      <c r="A21" s="35"/>
      <c r="B21" s="73" t="s">
        <v>167</v>
      </c>
      <c r="C21" s="777">
        <f>+'VARIACIONES EGRESOS'!R82</f>
        <v>66600</v>
      </c>
      <c r="D21" s="15"/>
    </row>
    <row r="22" spans="1:4">
      <c r="A22" s="16"/>
      <c r="B22" s="73" t="s">
        <v>168</v>
      </c>
      <c r="C22" s="41">
        <f>+'VARIACIONES EGRESOS'!R84</f>
        <v>3488401.16</v>
      </c>
      <c r="D22" s="26"/>
    </row>
    <row r="23" spans="1:4">
      <c r="A23" s="16"/>
      <c r="C23" s="41"/>
      <c r="D23" s="26"/>
    </row>
    <row r="24" spans="1:4" s="2" customFormat="1">
      <c r="A24" s="24" t="s">
        <v>28</v>
      </c>
      <c r="B24" s="25"/>
      <c r="C24" s="40">
        <f>SUM(C25:C27)</f>
        <v>5895550.2000000002</v>
      </c>
      <c r="D24" s="15"/>
    </row>
    <row r="25" spans="1:4" s="2" customFormat="1">
      <c r="A25" s="35"/>
      <c r="B25" s="73" t="s">
        <v>167</v>
      </c>
      <c r="C25" s="777">
        <f>+'VARIACIONES EGRESOS'!R94</f>
        <v>19800</v>
      </c>
      <c r="D25" s="15"/>
    </row>
    <row r="26" spans="1:4" s="7" customFormat="1">
      <c r="A26" s="32"/>
      <c r="B26" s="73" t="s">
        <v>168</v>
      </c>
      <c r="C26" s="51">
        <f>+'VARIACIONES EGRESOS'!R96</f>
        <v>5875750.2000000002</v>
      </c>
      <c r="D26" s="26"/>
    </row>
    <row r="27" spans="1:4">
      <c r="A27" s="16"/>
      <c r="C27" s="41"/>
      <c r="D27" s="26"/>
    </row>
    <row r="28" spans="1:4" s="2" customFormat="1">
      <c r="A28" s="24" t="s">
        <v>2</v>
      </c>
      <c r="B28" s="25"/>
      <c r="C28" s="40">
        <f>SUM(C29)</f>
        <v>0</v>
      </c>
      <c r="D28" s="15"/>
    </row>
    <row r="29" spans="1:4" s="2" customFormat="1">
      <c r="A29" s="35"/>
      <c r="B29" s="73" t="s">
        <v>168</v>
      </c>
      <c r="C29" s="41">
        <f>+'VARIACIONES EGRESOS'!R106</f>
        <v>0</v>
      </c>
      <c r="D29" s="15"/>
    </row>
    <row r="30" spans="1:4">
      <c r="A30" s="16"/>
      <c r="C30" s="41"/>
      <c r="D30" s="26"/>
    </row>
    <row r="31" spans="1:4" s="2" customFormat="1">
      <c r="A31" s="24" t="s">
        <v>221</v>
      </c>
      <c r="B31" s="25"/>
      <c r="C31" s="40">
        <f>SUM(C32:C34)</f>
        <v>1078631.24</v>
      </c>
      <c r="D31" s="15"/>
    </row>
    <row r="32" spans="1:4" s="2" customFormat="1">
      <c r="A32" s="35"/>
      <c r="B32" s="73" t="s">
        <v>167</v>
      </c>
      <c r="C32" s="777">
        <f>+'VARIACIONES EGRESOS'!R112</f>
        <v>14400</v>
      </c>
      <c r="D32" s="15"/>
    </row>
    <row r="33" spans="1:4" s="2" customFormat="1">
      <c r="A33" s="35"/>
      <c r="B33" s="73" t="s">
        <v>168</v>
      </c>
      <c r="C33" s="51">
        <f>+'VARIACIONES EGRESOS'!R114</f>
        <v>1064231.24</v>
      </c>
      <c r="D33" s="15"/>
    </row>
    <row r="34" spans="1:4">
      <c r="A34" s="16"/>
      <c r="C34" s="41"/>
      <c r="D34" s="26"/>
    </row>
    <row r="35" spans="1:4">
      <c r="A35" s="24" t="s">
        <v>159</v>
      </c>
      <c r="B35" s="25"/>
      <c r="C35" s="40">
        <f>SUM(C36:C38)</f>
        <v>1637870.65</v>
      </c>
      <c r="D35" s="26"/>
    </row>
    <row r="36" spans="1:4">
      <c r="A36" s="35"/>
      <c r="B36" s="73" t="s">
        <v>167</v>
      </c>
      <c r="C36" s="777">
        <f>+'VARIACIONES EGRESOS'!R123</f>
        <v>32200</v>
      </c>
      <c r="D36" s="26"/>
    </row>
    <row r="37" spans="1:4">
      <c r="A37" s="35"/>
      <c r="B37" s="73" t="s">
        <v>168</v>
      </c>
      <c r="C37" s="51">
        <f>+'VARIACIONES EGRESOS'!R125</f>
        <v>1605670.65</v>
      </c>
      <c r="D37" s="26"/>
    </row>
    <row r="38" spans="1:4">
      <c r="A38" s="16"/>
      <c r="C38" s="41"/>
      <c r="D38" s="26"/>
    </row>
    <row r="39" spans="1:4">
      <c r="A39" s="134" t="s">
        <v>6309</v>
      </c>
      <c r="B39" s="25"/>
      <c r="C39" s="40">
        <f>SUM(C40:C42)</f>
        <v>341788.39</v>
      </c>
      <c r="D39" s="26"/>
    </row>
    <row r="40" spans="1:4">
      <c r="A40" s="35"/>
      <c r="B40" s="73" t="s">
        <v>168</v>
      </c>
      <c r="C40" s="777">
        <f>+'VARIACIONES EGRESOS'!R132</f>
        <v>341788.39</v>
      </c>
      <c r="D40" s="26"/>
    </row>
    <row r="41" spans="1:4">
      <c r="A41" s="16"/>
      <c r="C41" s="41"/>
      <c r="D41" s="26"/>
    </row>
    <row r="42" spans="1:4">
      <c r="A42" s="16"/>
      <c r="C42" s="41"/>
      <c r="D42" s="26"/>
    </row>
    <row r="43" spans="1:4" s="2" customFormat="1">
      <c r="A43" s="24" t="s">
        <v>8</v>
      </c>
      <c r="B43" s="25"/>
      <c r="C43" s="71">
        <f>+C31+C28+C24+C20+C16+C35+C39</f>
        <v>27911275.870000001</v>
      </c>
      <c r="D43" s="15"/>
    </row>
    <row r="44" spans="1:4" s="2" customFormat="1">
      <c r="C44" s="9"/>
      <c r="D44" s="15"/>
    </row>
    <row r="45" spans="1:4">
      <c r="A45" s="47" t="s">
        <v>71</v>
      </c>
      <c r="B45" s="48"/>
      <c r="C45" s="61"/>
      <c r="D45" s="26"/>
    </row>
    <row r="46" spans="1:4">
      <c r="A46" s="35"/>
      <c r="B46" s="73"/>
      <c r="C46" s="49"/>
      <c r="D46" s="26"/>
    </row>
    <row r="47" spans="1:4">
      <c r="A47" s="35"/>
      <c r="B47" s="73"/>
      <c r="C47" s="41"/>
      <c r="D47" s="26"/>
    </row>
    <row r="48" spans="1:4">
      <c r="A48" s="16"/>
      <c r="C48" s="51"/>
      <c r="D48" s="26"/>
    </row>
    <row r="49" spans="1:4">
      <c r="A49" s="24" t="s">
        <v>72</v>
      </c>
      <c r="B49" s="25"/>
      <c r="C49" s="71">
        <f>SUM(C46:C48)</f>
        <v>0</v>
      </c>
      <c r="D49" s="26"/>
    </row>
    <row r="50" spans="1:4">
      <c r="D50" s="26"/>
    </row>
    <row r="51" spans="1:4" s="2" customFormat="1">
      <c r="A51" s="47" t="s">
        <v>64</v>
      </c>
      <c r="B51" s="48"/>
      <c r="C51" s="61"/>
      <c r="D51" s="15"/>
    </row>
    <row r="52" spans="1:4" s="2" customFormat="1">
      <c r="A52" s="35"/>
      <c r="B52" s="73"/>
      <c r="C52" s="41"/>
      <c r="D52" s="15"/>
    </row>
    <row r="53" spans="1:4" s="2" customFormat="1">
      <c r="A53" s="35"/>
      <c r="B53" s="73"/>
      <c r="C53" s="41"/>
      <c r="D53" s="15"/>
    </row>
    <row r="54" spans="1:4" s="2" customFormat="1">
      <c r="A54" s="35"/>
      <c r="B54" s="73"/>
      <c r="C54" s="41"/>
      <c r="D54" s="15"/>
    </row>
    <row r="55" spans="1:4">
      <c r="A55" s="76"/>
      <c r="B55" s="75"/>
      <c r="C55" s="50"/>
      <c r="D55" s="26"/>
    </row>
    <row r="56" spans="1:4" s="2" customFormat="1">
      <c r="A56" s="24" t="s">
        <v>73</v>
      </c>
      <c r="B56" s="25"/>
      <c r="C56" s="71">
        <f>SUM(C52:C55)</f>
        <v>0</v>
      </c>
      <c r="D56" s="15"/>
    </row>
    <row r="57" spans="1:4">
      <c r="D57" s="26"/>
    </row>
    <row r="58" spans="1:4">
      <c r="A58" s="2"/>
      <c r="B58" s="2"/>
      <c r="C58" s="121"/>
      <c r="D58" s="26"/>
    </row>
    <row r="59" spans="1:4" s="2" customFormat="1">
      <c r="A59" s="60" t="s">
        <v>170</v>
      </c>
      <c r="B59" s="60"/>
      <c r="C59" s="61"/>
      <c r="D59" s="15"/>
    </row>
    <row r="60" spans="1:4" s="2" customFormat="1">
      <c r="A60" s="35"/>
      <c r="B60" s="73" t="s">
        <v>27</v>
      </c>
      <c r="C60" s="49">
        <f>+'VARIACIONES EGRESOS'!R149</f>
        <v>5237879.01</v>
      </c>
      <c r="D60" s="15"/>
    </row>
    <row r="61" spans="1:4" s="2" customFormat="1">
      <c r="A61" s="35"/>
      <c r="B61" s="73" t="s">
        <v>972</v>
      </c>
      <c r="C61" s="51">
        <f>+'VARIACIONES EGRESOS'!R150</f>
        <v>139597.47</v>
      </c>
      <c r="D61" s="15"/>
    </row>
    <row r="62" spans="1:4" s="2" customFormat="1">
      <c r="A62" s="16"/>
      <c r="B62" s="508" t="s">
        <v>1760</v>
      </c>
      <c r="C62" s="50">
        <f>+'VARIACIONES EGRESOS'!R151+'VARIACIONES EGRESOS'!R152</f>
        <v>114333.54</v>
      </c>
      <c r="D62" s="15"/>
    </row>
    <row r="63" spans="1:4">
      <c r="A63" s="24" t="s">
        <v>74</v>
      </c>
      <c r="B63" s="25"/>
      <c r="C63" s="71">
        <f>SUM(C60:C62)</f>
        <v>5491810.0199999996</v>
      </c>
      <c r="D63" s="26"/>
    </row>
    <row r="64" spans="1:4" s="2" customFormat="1">
      <c r="D64" s="15"/>
    </row>
    <row r="65" spans="1:4">
      <c r="A65" s="60" t="s">
        <v>222</v>
      </c>
      <c r="B65" s="60"/>
      <c r="C65" s="61">
        <f>+C63+C56+C49+C43+C12</f>
        <v>57675784.469999999</v>
      </c>
      <c r="D65" s="26"/>
    </row>
    <row r="66" spans="1:4">
      <c r="D66" s="26"/>
    </row>
    <row r="68" spans="1:4">
      <c r="D68" s="26"/>
    </row>
    <row r="69" spans="1:4">
      <c r="D69" s="26"/>
    </row>
    <row r="70" spans="1:4">
      <c r="D70" s="26"/>
    </row>
    <row r="71" spans="1:4">
      <c r="D71" s="26"/>
    </row>
    <row r="72" spans="1:4">
      <c r="A72" s="2"/>
      <c r="B72" s="2"/>
      <c r="C72" s="9"/>
      <c r="D72" s="26"/>
    </row>
    <row r="73" spans="1:4">
      <c r="D73" s="26"/>
    </row>
    <row r="75" spans="1:4" s="2" customFormat="1">
      <c r="C75" s="9"/>
      <c r="D75" s="7"/>
    </row>
  </sheetData>
  <mergeCells count="3">
    <mergeCell ref="A2:C2"/>
    <mergeCell ref="A3:C3"/>
    <mergeCell ref="A1:C1"/>
  </mergeCells>
  <phoneticPr fontId="14" type="noConversion"/>
  <pageMargins left="1.0629921259842521" right="0.59055118110236227" top="0.51181102362204722" bottom="0.23622047244094491" header="0" footer="0"/>
  <pageSetup scale="96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D59"/>
  <sheetViews>
    <sheetView topLeftCell="A38" zoomScaleNormal="100" workbookViewId="0">
      <selection activeCell="A21" sqref="A21:D27"/>
    </sheetView>
  </sheetViews>
  <sheetFormatPr baseColWidth="10" defaultRowHeight="12.75"/>
  <cols>
    <col min="1" max="1" width="10.5703125" customWidth="1"/>
    <col min="2" max="2" width="48.42578125" customWidth="1"/>
    <col min="3" max="3" width="14.85546875" style="6" bestFit="1" customWidth="1"/>
    <col min="4" max="4" width="54" style="7" customWidth="1"/>
    <col min="5" max="5" width="14.85546875" bestFit="1" customWidth="1"/>
    <col min="6" max="6" width="13.85546875" bestFit="1" customWidth="1"/>
    <col min="7" max="7" width="14.85546875" bestFit="1" customWidth="1"/>
    <col min="8" max="8" width="13.85546875" customWidth="1"/>
  </cols>
  <sheetData>
    <row r="1" spans="1:4">
      <c r="C1" s="13"/>
    </row>
    <row r="2" spans="1:4" ht="15">
      <c r="A2" s="1559" t="s">
        <v>2987</v>
      </c>
      <c r="B2" s="1559"/>
      <c r="C2" s="1559"/>
      <c r="D2" s="1559"/>
    </row>
    <row r="3" spans="1:4" ht="15">
      <c r="A3" s="1559" t="s">
        <v>171</v>
      </c>
      <c r="B3" s="1559"/>
      <c r="C3" s="1559"/>
      <c r="D3" s="1559"/>
    </row>
    <row r="4" spans="1:4" ht="15">
      <c r="A4" s="1559" t="str">
        <f>+BALANCE!A5</f>
        <v>AL 31 DE DICIEMBRE DE 2021</v>
      </c>
      <c r="B4" s="1559"/>
      <c r="C4" s="1559"/>
      <c r="D4" s="1559"/>
    </row>
    <row r="5" spans="1:4">
      <c r="A5" s="73"/>
      <c r="B5" s="73"/>
      <c r="C5" s="73"/>
    </row>
    <row r="6" spans="1:4">
      <c r="A6" s="592"/>
      <c r="B6" s="622"/>
      <c r="C6" s="627"/>
      <c r="D6" s="628"/>
    </row>
    <row r="8" spans="1:4" ht="15">
      <c r="A8" s="52" t="s">
        <v>83</v>
      </c>
      <c r="B8" s="53"/>
      <c r="C8" s="62"/>
      <c r="D8" s="54"/>
    </row>
    <row r="9" spans="1:4">
      <c r="A9" s="28"/>
      <c r="B9" s="8"/>
      <c r="C9" s="63"/>
      <c r="D9" s="29"/>
    </row>
    <row r="10" spans="1:4">
      <c r="A10" s="79" t="s">
        <v>172</v>
      </c>
      <c r="B10" t="s">
        <v>38</v>
      </c>
      <c r="C10" s="1348">
        <v>1695096.67</v>
      </c>
      <c r="D10" s="30" t="s">
        <v>42</v>
      </c>
    </row>
    <row r="11" spans="1:4">
      <c r="A11" s="79" t="s">
        <v>173</v>
      </c>
      <c r="B11" t="s">
        <v>39</v>
      </c>
      <c r="C11" s="1348">
        <v>95239863.430000007</v>
      </c>
      <c r="D11" s="30" t="s">
        <v>43</v>
      </c>
    </row>
    <row r="12" spans="1:4">
      <c r="A12" s="79" t="s">
        <v>174</v>
      </c>
      <c r="B12" t="s">
        <v>37</v>
      </c>
      <c r="C12" s="782">
        <v>3041690.42</v>
      </c>
      <c r="D12" s="30" t="s">
        <v>41</v>
      </c>
    </row>
    <row r="13" spans="1:4">
      <c r="A13" s="79" t="s">
        <v>175</v>
      </c>
      <c r="B13" s="73" t="s">
        <v>7012</v>
      </c>
      <c r="C13" s="782">
        <f>57532.75+1122791.89</f>
        <v>1180324.6399999999</v>
      </c>
      <c r="D13" s="86" t="s">
        <v>3150</v>
      </c>
    </row>
    <row r="14" spans="1:4">
      <c r="A14" s="79" t="s">
        <v>5656</v>
      </c>
      <c r="B14" s="73" t="s">
        <v>5657</v>
      </c>
      <c r="C14" s="782">
        <v>45357.94</v>
      </c>
      <c r="D14" s="86" t="s">
        <v>5658</v>
      </c>
    </row>
    <row r="15" spans="1:4">
      <c r="A15" s="79" t="s">
        <v>5950</v>
      </c>
      <c r="B15" s="73" t="s">
        <v>37</v>
      </c>
      <c r="C15" s="782">
        <v>16138489.289999999</v>
      </c>
      <c r="D15" s="86" t="s">
        <v>5951</v>
      </c>
    </row>
    <row r="16" spans="1:4">
      <c r="A16" s="16"/>
      <c r="D16" s="30"/>
    </row>
    <row r="17" spans="1:4" s="2" customFormat="1">
      <c r="A17" s="24"/>
      <c r="B17" s="25" t="s">
        <v>40</v>
      </c>
      <c r="C17" s="34">
        <f>SUM(C10:C16)</f>
        <v>117340822.39000002</v>
      </c>
      <c r="D17" s="31"/>
    </row>
    <row r="18" spans="1:4" s="2" customFormat="1">
      <c r="C18" s="9"/>
    </row>
    <row r="19" spans="1:4" s="2" customFormat="1">
      <c r="C19" s="9"/>
    </row>
    <row r="21" spans="1:4" ht="15">
      <c r="A21" s="52" t="s">
        <v>76</v>
      </c>
      <c r="B21" s="53"/>
      <c r="C21" s="62"/>
      <c r="D21" s="54"/>
    </row>
    <row r="22" spans="1:4">
      <c r="A22" s="28"/>
      <c r="B22" s="8"/>
      <c r="C22" s="63"/>
      <c r="D22" s="29"/>
    </row>
    <row r="23" spans="1:4" s="7" customFormat="1">
      <c r="A23" s="79" t="s">
        <v>176</v>
      </c>
      <c r="B23" s="7" t="s">
        <v>44</v>
      </c>
      <c r="C23" s="549">
        <v>1911032.47</v>
      </c>
      <c r="D23" s="86" t="s">
        <v>1793</v>
      </c>
    </row>
    <row r="24" spans="1:4" s="7" customFormat="1">
      <c r="A24" s="79" t="s">
        <v>177</v>
      </c>
      <c r="B24" s="7" t="s">
        <v>90</v>
      </c>
      <c r="C24" s="64">
        <v>0</v>
      </c>
      <c r="D24" s="86" t="s">
        <v>1793</v>
      </c>
    </row>
    <row r="25" spans="1:4" s="7" customFormat="1">
      <c r="A25" s="79" t="s">
        <v>178</v>
      </c>
      <c r="B25" s="73" t="s">
        <v>96</v>
      </c>
      <c r="C25" s="64">
        <v>85000000.219999999</v>
      </c>
      <c r="D25" s="86" t="s">
        <v>1793</v>
      </c>
    </row>
    <row r="26" spans="1:4" s="7" customFormat="1">
      <c r="A26" s="32"/>
      <c r="C26" s="64"/>
      <c r="D26" s="30"/>
    </row>
    <row r="27" spans="1:4" s="2" customFormat="1">
      <c r="A27" s="24"/>
      <c r="B27" s="25" t="s">
        <v>45</v>
      </c>
      <c r="C27" s="65">
        <f>SUM(C23:C26)</f>
        <v>86911032.689999998</v>
      </c>
      <c r="D27" s="31"/>
    </row>
    <row r="28" spans="1:4" s="2" customFormat="1">
      <c r="C28" s="11"/>
    </row>
    <row r="29" spans="1:4" s="2" customFormat="1">
      <c r="C29" s="11"/>
    </row>
    <row r="30" spans="1:4" s="2" customFormat="1">
      <c r="C30" s="11"/>
    </row>
    <row r="31" spans="1:4" ht="15">
      <c r="A31" s="52" t="s">
        <v>179</v>
      </c>
      <c r="B31" s="53"/>
      <c r="C31" s="62"/>
      <c r="D31" s="54"/>
    </row>
    <row r="32" spans="1:4">
      <c r="A32" s="28"/>
      <c r="B32" s="8"/>
      <c r="C32" s="63"/>
      <c r="D32" s="29"/>
    </row>
    <row r="33" spans="1:4" s="7" customFormat="1">
      <c r="A33" s="79">
        <v>1221</v>
      </c>
      <c r="B33" s="73" t="s">
        <v>3291</v>
      </c>
      <c r="C33" s="64"/>
      <c r="D33" s="86"/>
    </row>
    <row r="34" spans="1:4" s="7" customFormat="1">
      <c r="A34" s="32"/>
      <c r="C34" s="64"/>
      <c r="D34" s="30"/>
    </row>
    <row r="35" spans="1:4" s="2" customFormat="1">
      <c r="A35" s="24"/>
      <c r="B35" s="25" t="s">
        <v>203</v>
      </c>
      <c r="C35" s="65">
        <f>SUM(C33:C34)</f>
        <v>0</v>
      </c>
      <c r="D35" s="31"/>
    </row>
    <row r="36" spans="1:4" s="2" customFormat="1">
      <c r="C36" s="11"/>
    </row>
    <row r="37" spans="1:4" s="2" customFormat="1">
      <c r="C37" s="11"/>
    </row>
    <row r="38" spans="1:4" s="7" customFormat="1" ht="15">
      <c r="A38" s="52" t="s">
        <v>65</v>
      </c>
      <c r="B38" s="53"/>
      <c r="C38" s="62"/>
      <c r="D38" s="54"/>
    </row>
    <row r="39" spans="1:4" s="7" customFormat="1" ht="12.75" customHeight="1">
      <c r="A39" s="79" t="s">
        <v>1537</v>
      </c>
      <c r="B39" s="73" t="s">
        <v>7013</v>
      </c>
      <c r="C39" s="6">
        <v>11081.08</v>
      </c>
      <c r="D39" s="1315" t="s">
        <v>7014</v>
      </c>
    </row>
    <row r="40" spans="1:4" s="7" customFormat="1" ht="12.75" customHeight="1">
      <c r="A40" s="79" t="s">
        <v>5319</v>
      </c>
      <c r="B40" s="73" t="s">
        <v>6251</v>
      </c>
      <c r="C40" s="6">
        <v>15298.07</v>
      </c>
      <c r="D40" s="1315" t="s">
        <v>5586</v>
      </c>
    </row>
    <row r="41" spans="1:4" s="7" customFormat="1">
      <c r="A41" s="16"/>
      <c r="B41"/>
      <c r="C41" s="6"/>
      <c r="D41" s="33"/>
    </row>
    <row r="42" spans="1:4" s="7" customFormat="1">
      <c r="A42" s="24"/>
      <c r="B42" s="25" t="s">
        <v>180</v>
      </c>
      <c r="C42" s="66">
        <f>SUM(C39:C41)</f>
        <v>26379.15</v>
      </c>
      <c r="D42" s="27"/>
    </row>
    <row r="43" spans="1:4" s="7" customFormat="1">
      <c r="A43" s="2"/>
      <c r="B43" s="2"/>
      <c r="C43" s="43"/>
      <c r="D43" s="15"/>
    </row>
    <row r="44" spans="1:4" s="7" customFormat="1">
      <c r="C44" s="14"/>
    </row>
    <row r="45" spans="1:4" ht="15">
      <c r="A45" s="52" t="s">
        <v>46</v>
      </c>
      <c r="B45" s="53"/>
      <c r="C45" s="62"/>
      <c r="D45" s="54"/>
    </row>
    <row r="46" spans="1:4">
      <c r="A46" s="79" t="s">
        <v>5763</v>
      </c>
      <c r="B46" s="73" t="s">
        <v>6659</v>
      </c>
      <c r="C46" s="6">
        <v>16301</v>
      </c>
      <c r="D46" s="86" t="s">
        <v>6660</v>
      </c>
    </row>
    <row r="47" spans="1:4">
      <c r="A47" s="16"/>
      <c r="D47" s="33"/>
    </row>
    <row r="48" spans="1:4" s="2" customFormat="1">
      <c r="A48" s="24"/>
      <c r="B48" s="25" t="s">
        <v>7</v>
      </c>
      <c r="C48" s="66">
        <f>SUM(C46:C47)</f>
        <v>16301</v>
      </c>
      <c r="D48" s="27"/>
    </row>
    <row r="49" spans="1:4" s="2" customFormat="1">
      <c r="C49" s="43"/>
      <c r="D49" s="15"/>
    </row>
    <row r="50" spans="1:4" s="2" customFormat="1">
      <c r="C50" s="43"/>
      <c r="D50" s="15"/>
    </row>
    <row r="51" spans="1:4" ht="15">
      <c r="A51" s="52" t="s">
        <v>206</v>
      </c>
      <c r="B51" s="55"/>
      <c r="C51" s="67"/>
      <c r="D51" s="56"/>
    </row>
    <row r="52" spans="1:4">
      <c r="A52" s="79">
        <v>1125</v>
      </c>
      <c r="B52" s="73" t="s">
        <v>3291</v>
      </c>
      <c r="C52" s="14">
        <v>0</v>
      </c>
      <c r="D52" s="86"/>
    </row>
    <row r="53" spans="1:4">
      <c r="A53" s="79"/>
      <c r="B53" s="73"/>
      <c r="C53" s="14"/>
      <c r="D53" s="86"/>
    </row>
    <row r="54" spans="1:4">
      <c r="A54" s="79"/>
      <c r="B54" s="73"/>
      <c r="C54" s="14"/>
      <c r="D54" s="86"/>
    </row>
    <row r="55" spans="1:4">
      <c r="A55" s="32"/>
      <c r="B55" s="7"/>
      <c r="C55" s="14"/>
      <c r="D55" s="30"/>
    </row>
    <row r="56" spans="1:4">
      <c r="A56" s="24"/>
      <c r="B56" s="25" t="s">
        <v>207</v>
      </c>
      <c r="C56" s="34">
        <f>SUM(C52:C55)</f>
        <v>0</v>
      </c>
      <c r="D56" s="31"/>
    </row>
    <row r="57" spans="1:4">
      <c r="A57" s="2"/>
      <c r="B57" s="2"/>
      <c r="C57" s="9"/>
      <c r="D57" s="2"/>
    </row>
    <row r="59" spans="1:4">
      <c r="A59" s="2"/>
      <c r="B59" s="2"/>
      <c r="C59" s="9"/>
      <c r="D59" s="2"/>
    </row>
  </sheetData>
  <mergeCells count="3">
    <mergeCell ref="A3:D3"/>
    <mergeCell ref="A4:D4"/>
    <mergeCell ref="A2:D2"/>
  </mergeCells>
  <phoneticPr fontId="14" type="noConversion"/>
  <pageMargins left="0.59055118110236227" right="0.23622047244094491" top="0.45" bottom="0.19685039370078741" header="0" footer="0"/>
  <pageSetup scale="75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EFCE-4D78-42C3-B4C7-84D7CEF6E523}">
  <dimension ref="A1:W2175"/>
  <sheetViews>
    <sheetView topLeftCell="A784" workbookViewId="0">
      <selection activeCell="F791" sqref="F791:I797"/>
    </sheetView>
  </sheetViews>
  <sheetFormatPr baseColWidth="10" defaultColWidth="8" defaultRowHeight="12.75"/>
  <cols>
    <col min="1" max="1" width="2.7109375" customWidth="1"/>
    <col min="2" max="2" width="1.28515625" customWidth="1"/>
    <col min="3" max="3" width="6.7109375" customWidth="1"/>
    <col min="4" max="4" width="1.28515625" customWidth="1"/>
    <col min="5" max="5" width="9.42578125" customWidth="1"/>
    <col min="6" max="6" width="2.7109375" customWidth="1"/>
    <col min="7" max="7" width="8.140625" customWidth="1"/>
    <col min="8" max="8" width="23" customWidth="1"/>
    <col min="9" max="9" width="8.140625" customWidth="1"/>
    <col min="10" max="12" width="12.140625" customWidth="1"/>
    <col min="13" max="13" width="10.85546875" customWidth="1"/>
    <col min="14" max="15" width="1.28515625" customWidth="1"/>
    <col min="16" max="16" width="10.85546875" customWidth="1"/>
    <col min="17" max="19" width="1.28515625" customWidth="1"/>
    <col min="20" max="20" width="5.42578125" customWidth="1"/>
    <col min="21" max="21" width="2.7109375" customWidth="1"/>
    <col min="22" max="22" width="1.28515625" customWidth="1"/>
    <col min="23" max="23" width="2.42578125" customWidth="1"/>
  </cols>
  <sheetData>
    <row r="1" spans="1:23" ht="15" customHeight="1">
      <c r="C1" s="1586" t="s">
        <v>2987</v>
      </c>
      <c r="D1" s="1586"/>
      <c r="E1" s="1586"/>
      <c r="F1" s="1586"/>
      <c r="G1" s="1586"/>
      <c r="H1" s="1586"/>
      <c r="I1" s="1586"/>
      <c r="J1" s="1586"/>
      <c r="K1" s="1586"/>
      <c r="L1" s="1586"/>
      <c r="M1" s="1586"/>
      <c r="N1" s="1586"/>
      <c r="O1" s="1586"/>
      <c r="P1" s="1586"/>
      <c r="Q1" s="1586"/>
      <c r="R1" s="1586"/>
      <c r="S1" s="1586"/>
      <c r="T1" s="1586"/>
    </row>
    <row r="2" spans="1:23" ht="9.6" customHeight="1">
      <c r="A2" s="1587"/>
      <c r="B2" s="1587"/>
      <c r="C2" s="1587"/>
      <c r="D2" s="1587"/>
      <c r="E2" s="1587"/>
      <c r="F2" s="1587"/>
      <c r="G2" s="1586"/>
      <c r="H2" s="1586"/>
      <c r="I2" s="1586"/>
      <c r="J2" s="1586"/>
      <c r="K2" s="1586"/>
      <c r="L2" s="1586"/>
      <c r="M2" s="1586"/>
      <c r="N2" s="1586"/>
      <c r="O2" s="1586"/>
      <c r="P2" s="1586"/>
      <c r="Q2" s="1586"/>
      <c r="R2" s="1586"/>
      <c r="S2" s="1586"/>
      <c r="T2" s="1586"/>
    </row>
    <row r="3" spans="1:23" ht="13.35" customHeight="1">
      <c r="A3" s="1587"/>
      <c r="B3" s="1587"/>
      <c r="C3" s="1587"/>
      <c r="D3" s="1587"/>
      <c r="E3" s="1587"/>
      <c r="F3" s="1587"/>
      <c r="G3" s="1588" t="s">
        <v>79</v>
      </c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</row>
    <row r="4" spans="1:23" ht="13.5" customHeight="1">
      <c r="A4" s="1587"/>
      <c r="B4" s="1587"/>
      <c r="C4" s="1587"/>
      <c r="D4" s="1587"/>
      <c r="E4" s="1587"/>
      <c r="F4" s="1587"/>
      <c r="G4" s="1581" t="s">
        <v>7015</v>
      </c>
      <c r="H4" s="1581"/>
      <c r="I4" s="1581"/>
      <c r="J4" s="1581"/>
      <c r="K4" s="1581"/>
      <c r="L4" s="1581"/>
      <c r="M4" s="1581"/>
      <c r="N4" s="1581"/>
      <c r="O4" s="1581"/>
      <c r="P4" s="1581"/>
      <c r="Q4" s="1581"/>
    </row>
    <row r="5" spans="1:23" ht="8.1" customHeight="1">
      <c r="B5" s="1580" t="s">
        <v>1916</v>
      </c>
      <c r="C5" s="1580"/>
      <c r="D5" s="1580"/>
      <c r="E5" s="1580"/>
      <c r="F5" s="1580"/>
      <c r="G5" s="1580"/>
      <c r="H5" s="1581"/>
      <c r="I5" s="1581"/>
      <c r="J5" s="1581"/>
      <c r="K5" s="1581"/>
      <c r="L5" s="1581"/>
      <c r="M5" s="1581"/>
      <c r="N5" s="1582" t="s">
        <v>5619</v>
      </c>
      <c r="O5" s="1582"/>
      <c r="P5" s="1582"/>
      <c r="Q5" s="1582"/>
      <c r="R5" s="1582"/>
      <c r="S5" s="1582"/>
      <c r="T5" s="1583" t="s">
        <v>7016</v>
      </c>
      <c r="U5" s="1583"/>
      <c r="V5" s="1583"/>
      <c r="W5" s="1583"/>
    </row>
    <row r="6" spans="1:23" ht="15.75" customHeight="1">
      <c r="B6" s="1580"/>
      <c r="C6" s="1580"/>
      <c r="D6" s="1580"/>
      <c r="E6" s="1580"/>
      <c r="F6" s="1580"/>
      <c r="G6" s="1580"/>
      <c r="H6" s="1584" t="s">
        <v>7017</v>
      </c>
      <c r="I6" s="1584"/>
      <c r="J6" s="1584"/>
      <c r="K6" s="1584"/>
      <c r="L6" s="1584"/>
      <c r="M6" s="1584"/>
      <c r="N6" s="1582"/>
      <c r="O6" s="1582"/>
      <c r="P6" s="1582"/>
      <c r="Q6" s="1582"/>
      <c r="R6" s="1582"/>
      <c r="S6" s="1582"/>
      <c r="T6" s="1583"/>
      <c r="U6" s="1583"/>
      <c r="V6" s="1583"/>
      <c r="W6" s="1583"/>
    </row>
    <row r="7" spans="1:23" ht="7.35" customHeight="1">
      <c r="B7" s="1580" t="s">
        <v>1994</v>
      </c>
      <c r="C7" s="1580"/>
      <c r="D7" s="1580"/>
      <c r="E7" s="1585"/>
      <c r="F7" s="1585"/>
      <c r="G7" s="1585"/>
      <c r="H7" s="1585"/>
      <c r="I7" s="1585"/>
      <c r="J7" s="1585"/>
      <c r="K7" s="1585"/>
      <c r="L7" s="1585"/>
      <c r="M7" s="1585"/>
      <c r="N7" s="1585"/>
      <c r="O7" s="1585"/>
      <c r="P7" s="1585"/>
      <c r="Q7" s="1585"/>
      <c r="R7" s="1582"/>
      <c r="S7" s="1582"/>
      <c r="T7" s="1582" t="s">
        <v>7018</v>
      </c>
      <c r="U7" s="1582"/>
    </row>
    <row r="8" spans="1:23" ht="6.75" customHeight="1"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2"/>
      <c r="S8" s="1582"/>
      <c r="T8" s="1582"/>
      <c r="U8" s="1582"/>
    </row>
    <row r="9" spans="1:23" ht="10.9" customHeight="1">
      <c r="A9" s="1576"/>
      <c r="B9" s="1576"/>
      <c r="C9" s="1576"/>
      <c r="D9" s="1576"/>
      <c r="E9" s="1576"/>
      <c r="F9" s="1576"/>
      <c r="G9" s="1576"/>
      <c r="H9" s="1576"/>
      <c r="I9" s="1576"/>
      <c r="J9" s="1577" t="s">
        <v>1314</v>
      </c>
      <c r="K9" s="1577"/>
      <c r="L9" s="1577" t="s">
        <v>1315</v>
      </c>
      <c r="M9" s="1577"/>
      <c r="N9" s="1577"/>
      <c r="O9" s="1577" t="s">
        <v>1316</v>
      </c>
      <c r="P9" s="1577"/>
      <c r="Q9" s="1577"/>
      <c r="R9" s="1577"/>
      <c r="S9" s="1577"/>
      <c r="T9" s="1577"/>
      <c r="U9" s="1577"/>
    </row>
    <row r="10" spans="1:23" ht="14.1" customHeight="1">
      <c r="A10" s="1578" t="s">
        <v>1317</v>
      </c>
      <c r="B10" s="1578"/>
      <c r="C10" s="1578" t="s">
        <v>1318</v>
      </c>
      <c r="D10" s="1578"/>
      <c r="E10" s="1578"/>
      <c r="F10" s="1578" t="s">
        <v>1319</v>
      </c>
      <c r="G10" s="1578"/>
      <c r="H10" s="1578"/>
      <c r="I10" s="1578"/>
      <c r="J10" s="1413" t="s">
        <v>1320</v>
      </c>
      <c r="K10" s="1413" t="s">
        <v>1321</v>
      </c>
      <c r="L10" s="1413" t="s">
        <v>1320</v>
      </c>
      <c r="M10" s="1579" t="s">
        <v>1321</v>
      </c>
      <c r="N10" s="1579"/>
      <c r="O10" s="1579" t="s">
        <v>1320</v>
      </c>
      <c r="P10" s="1579"/>
      <c r="Q10" s="1579" t="s">
        <v>1321</v>
      </c>
      <c r="R10" s="1579"/>
      <c r="S10" s="1579"/>
      <c r="T10" s="1579"/>
      <c r="U10" s="1579"/>
    </row>
    <row r="11" spans="1:23" ht="14.1" customHeight="1">
      <c r="A11" s="1574" t="s">
        <v>1322</v>
      </c>
      <c r="B11" s="1574"/>
      <c r="C11" s="1574" t="s">
        <v>1918</v>
      </c>
      <c r="D11" s="1574"/>
      <c r="E11" s="1574"/>
      <c r="F11" s="1574" t="s">
        <v>1018</v>
      </c>
      <c r="G11" s="1574"/>
      <c r="H11" s="1574"/>
      <c r="I11" s="1574"/>
      <c r="J11" s="1412">
        <v>1205985423.3499999</v>
      </c>
      <c r="K11" s="1412">
        <v>0</v>
      </c>
      <c r="L11" s="1412">
        <v>453313769.62</v>
      </c>
      <c r="M11" s="1575">
        <v>453522272.06</v>
      </c>
      <c r="N11" s="1575"/>
      <c r="O11" s="1575">
        <v>1205776920.9100001</v>
      </c>
      <c r="P11" s="1575"/>
      <c r="Q11" s="1575">
        <v>0</v>
      </c>
      <c r="R11" s="1575"/>
      <c r="S11" s="1575"/>
      <c r="T11" s="1575"/>
      <c r="U11" s="1575"/>
    </row>
    <row r="12" spans="1:23" ht="10.9" customHeight="1">
      <c r="A12" s="1574" t="s">
        <v>1322</v>
      </c>
      <c r="B12" s="1574"/>
      <c r="C12" s="1574" t="s">
        <v>1919</v>
      </c>
      <c r="D12" s="1574"/>
      <c r="E12" s="1574"/>
      <c r="F12" s="1574" t="s">
        <v>1006</v>
      </c>
      <c r="G12" s="1574"/>
      <c r="H12" s="1574"/>
      <c r="I12" s="1574"/>
      <c r="J12" s="1412">
        <v>219976359.27000001</v>
      </c>
      <c r="K12" s="1412">
        <v>0</v>
      </c>
      <c r="L12" s="1412">
        <v>450104786.61000001</v>
      </c>
      <c r="M12" s="1575">
        <v>452801368.74000001</v>
      </c>
      <c r="N12" s="1575"/>
      <c r="O12" s="1575">
        <v>217279777.13999999</v>
      </c>
      <c r="P12" s="1575"/>
      <c r="Q12" s="1575">
        <v>0</v>
      </c>
      <c r="R12" s="1575"/>
      <c r="S12" s="1575"/>
      <c r="T12" s="1575"/>
      <c r="U12" s="1575"/>
    </row>
    <row r="13" spans="1:23" ht="10.9" customHeight="1">
      <c r="A13" s="1574" t="s">
        <v>1322</v>
      </c>
      <c r="B13" s="1574"/>
      <c r="C13" s="1574" t="s">
        <v>1920</v>
      </c>
      <c r="D13" s="1574"/>
      <c r="E13" s="1574"/>
      <c r="F13" s="1574" t="s">
        <v>1005</v>
      </c>
      <c r="G13" s="1574"/>
      <c r="H13" s="1574"/>
      <c r="I13" s="1574"/>
      <c r="J13" s="1412">
        <v>206342546.09</v>
      </c>
      <c r="K13" s="1412">
        <v>0</v>
      </c>
      <c r="L13" s="1412">
        <v>432036926.80000001</v>
      </c>
      <c r="M13" s="1575">
        <v>434116617.43000001</v>
      </c>
      <c r="N13" s="1575"/>
      <c r="O13" s="1575">
        <v>204262855.46000001</v>
      </c>
      <c r="P13" s="1575"/>
      <c r="Q13" s="1575">
        <v>0</v>
      </c>
      <c r="R13" s="1575"/>
      <c r="S13" s="1575"/>
      <c r="T13" s="1575"/>
      <c r="U13" s="1575"/>
    </row>
    <row r="14" spans="1:23" ht="10.9" customHeight="1">
      <c r="A14" s="1574" t="s">
        <v>1322</v>
      </c>
      <c r="B14" s="1574"/>
      <c r="C14" s="1574" t="s">
        <v>1323</v>
      </c>
      <c r="D14" s="1574"/>
      <c r="E14" s="1574"/>
      <c r="F14" s="1574" t="s">
        <v>187</v>
      </c>
      <c r="G14" s="1574"/>
      <c r="H14" s="1574"/>
      <c r="I14" s="1574"/>
      <c r="J14" s="1412">
        <v>11000</v>
      </c>
      <c r="K14" s="1412">
        <v>0</v>
      </c>
      <c r="L14" s="1412">
        <v>0</v>
      </c>
      <c r="M14" s="1575">
        <v>0</v>
      </c>
      <c r="N14" s="1575"/>
      <c r="O14" s="1575">
        <v>11000</v>
      </c>
      <c r="P14" s="1575"/>
      <c r="Q14" s="1575">
        <v>0</v>
      </c>
      <c r="R14" s="1575"/>
      <c r="S14" s="1575"/>
      <c r="T14" s="1575"/>
      <c r="U14" s="1575"/>
    </row>
    <row r="15" spans="1:23" ht="10.9" customHeight="1">
      <c r="A15" s="1574" t="s">
        <v>1322</v>
      </c>
      <c r="B15" s="1574"/>
      <c r="C15" s="1574" t="s">
        <v>1324</v>
      </c>
      <c r="D15" s="1574"/>
      <c r="E15" s="1574"/>
      <c r="F15" s="1574" t="s">
        <v>1921</v>
      </c>
      <c r="G15" s="1574"/>
      <c r="H15" s="1574"/>
      <c r="I15" s="1574"/>
      <c r="J15" s="1412">
        <v>5000</v>
      </c>
      <c r="K15" s="1412">
        <v>0</v>
      </c>
      <c r="L15" s="1412">
        <v>0</v>
      </c>
      <c r="M15" s="1575">
        <v>0</v>
      </c>
      <c r="N15" s="1575"/>
      <c r="O15" s="1575">
        <v>5000</v>
      </c>
      <c r="P15" s="1575"/>
      <c r="Q15" s="1575">
        <v>0</v>
      </c>
      <c r="R15" s="1575"/>
      <c r="S15" s="1575"/>
      <c r="T15" s="1575"/>
      <c r="U15" s="1575"/>
    </row>
    <row r="16" spans="1:23" ht="10.9" customHeight="1">
      <c r="A16" s="1574" t="s">
        <v>1322</v>
      </c>
      <c r="B16" s="1574"/>
      <c r="C16" s="1574" t="s">
        <v>1325</v>
      </c>
      <c r="D16" s="1574"/>
      <c r="E16" s="1574"/>
      <c r="F16" s="1574" t="s">
        <v>1922</v>
      </c>
      <c r="G16" s="1574"/>
      <c r="H16" s="1574"/>
      <c r="I16" s="1574"/>
      <c r="J16" s="1412">
        <v>6000</v>
      </c>
      <c r="K16" s="1412">
        <v>0</v>
      </c>
      <c r="L16" s="1412">
        <v>0</v>
      </c>
      <c r="M16" s="1575">
        <v>0</v>
      </c>
      <c r="N16" s="1575"/>
      <c r="O16" s="1575">
        <v>6000</v>
      </c>
      <c r="P16" s="1575"/>
      <c r="Q16" s="1575">
        <v>0</v>
      </c>
      <c r="R16" s="1575"/>
      <c r="S16" s="1575"/>
      <c r="T16" s="1575"/>
      <c r="U16" s="1575"/>
    </row>
    <row r="17" spans="1:21" ht="10.9" customHeight="1">
      <c r="A17" s="1574" t="s">
        <v>1322</v>
      </c>
      <c r="B17" s="1574"/>
      <c r="C17" s="1574" t="s">
        <v>1326</v>
      </c>
      <c r="D17" s="1574"/>
      <c r="E17" s="1574"/>
      <c r="F17" s="1574" t="s">
        <v>1327</v>
      </c>
      <c r="G17" s="1574"/>
      <c r="H17" s="1574"/>
      <c r="I17" s="1574"/>
      <c r="J17" s="1412">
        <v>25425693.949999999</v>
      </c>
      <c r="K17" s="1412">
        <v>0</v>
      </c>
      <c r="L17" s="1412">
        <v>267640751.69999999</v>
      </c>
      <c r="M17" s="1575">
        <v>175725622.88</v>
      </c>
      <c r="N17" s="1575"/>
      <c r="O17" s="1575">
        <v>117340822.77</v>
      </c>
      <c r="P17" s="1575"/>
      <c r="Q17" s="1575">
        <v>0</v>
      </c>
      <c r="R17" s="1575"/>
      <c r="S17" s="1575"/>
      <c r="T17" s="1575"/>
      <c r="U17" s="1575"/>
    </row>
    <row r="18" spans="1:21" ht="10.9" customHeight="1">
      <c r="A18" s="1574" t="s">
        <v>1322</v>
      </c>
      <c r="B18" s="1574"/>
      <c r="C18" s="1574" t="s">
        <v>172</v>
      </c>
      <c r="D18" s="1574"/>
      <c r="E18" s="1574"/>
      <c r="F18" s="1574" t="s">
        <v>1923</v>
      </c>
      <c r="G18" s="1574"/>
      <c r="H18" s="1574"/>
      <c r="I18" s="1574"/>
      <c r="J18" s="1412">
        <v>1629902.55</v>
      </c>
      <c r="K18" s="1412">
        <v>0</v>
      </c>
      <c r="L18" s="1412">
        <v>43961369</v>
      </c>
      <c r="M18" s="1575">
        <v>43896174.880000003</v>
      </c>
      <c r="N18" s="1575"/>
      <c r="O18" s="1575">
        <v>1695096.67</v>
      </c>
      <c r="P18" s="1575"/>
      <c r="Q18" s="1575">
        <v>0</v>
      </c>
      <c r="R18" s="1575"/>
      <c r="S18" s="1575"/>
      <c r="T18" s="1575"/>
      <c r="U18" s="1575"/>
    </row>
    <row r="19" spans="1:21" ht="10.9" customHeight="1">
      <c r="A19" s="1574" t="s">
        <v>1322</v>
      </c>
      <c r="B19" s="1574"/>
      <c r="C19" s="1574" t="s">
        <v>173</v>
      </c>
      <c r="D19" s="1574"/>
      <c r="E19" s="1574"/>
      <c r="F19" s="1574" t="s">
        <v>1924</v>
      </c>
      <c r="G19" s="1574"/>
      <c r="H19" s="1574"/>
      <c r="I19" s="1574"/>
      <c r="J19" s="1412">
        <v>4691779.46</v>
      </c>
      <c r="K19" s="1412">
        <v>0</v>
      </c>
      <c r="L19" s="1412">
        <v>136424270.03999999</v>
      </c>
      <c r="M19" s="1575">
        <v>45876186.07</v>
      </c>
      <c r="N19" s="1575"/>
      <c r="O19" s="1575">
        <v>95239863.430000007</v>
      </c>
      <c r="P19" s="1575"/>
      <c r="Q19" s="1575">
        <v>0</v>
      </c>
      <c r="R19" s="1575"/>
      <c r="S19" s="1575"/>
      <c r="T19" s="1575"/>
      <c r="U19" s="1575"/>
    </row>
    <row r="20" spans="1:21" ht="10.9" customHeight="1">
      <c r="A20" s="1574" t="s">
        <v>1322</v>
      </c>
      <c r="B20" s="1574"/>
      <c r="C20" s="1574" t="s">
        <v>174</v>
      </c>
      <c r="D20" s="1574"/>
      <c r="E20" s="1574"/>
      <c r="F20" s="1574" t="s">
        <v>1925</v>
      </c>
      <c r="G20" s="1574"/>
      <c r="H20" s="1574"/>
      <c r="I20" s="1574"/>
      <c r="J20" s="1412">
        <v>3025060.09</v>
      </c>
      <c r="K20" s="1412">
        <v>0</v>
      </c>
      <c r="L20" s="1412">
        <v>16882.63</v>
      </c>
      <c r="M20" s="1575">
        <v>252.3</v>
      </c>
      <c r="N20" s="1575"/>
      <c r="O20" s="1575">
        <v>3041690.42</v>
      </c>
      <c r="P20" s="1575"/>
      <c r="Q20" s="1575">
        <v>0</v>
      </c>
      <c r="R20" s="1575"/>
      <c r="S20" s="1575"/>
      <c r="T20" s="1575"/>
      <c r="U20" s="1575"/>
    </row>
    <row r="21" spans="1:21" ht="10.9" customHeight="1">
      <c r="A21" s="1574" t="s">
        <v>1322</v>
      </c>
      <c r="B21" s="1574"/>
      <c r="C21" s="1574" t="s">
        <v>175</v>
      </c>
      <c r="D21" s="1574"/>
      <c r="E21" s="1574"/>
      <c r="F21" s="1574" t="s">
        <v>1926</v>
      </c>
      <c r="G21" s="1574"/>
      <c r="H21" s="1574"/>
      <c r="I21" s="1574"/>
      <c r="J21" s="1412">
        <v>57532.75</v>
      </c>
      <c r="K21" s="1412">
        <v>0</v>
      </c>
      <c r="L21" s="1412">
        <v>0</v>
      </c>
      <c r="M21" s="1575">
        <v>0</v>
      </c>
      <c r="N21" s="1575"/>
      <c r="O21" s="1575">
        <v>57532.75</v>
      </c>
      <c r="P21" s="1575"/>
      <c r="Q21" s="1575">
        <v>0</v>
      </c>
      <c r="R21" s="1575"/>
      <c r="S21" s="1575"/>
      <c r="T21" s="1575"/>
      <c r="U21" s="1575"/>
    </row>
    <row r="22" spans="1:21" ht="10.9" customHeight="1">
      <c r="A22" s="1574" t="s">
        <v>1322</v>
      </c>
      <c r="B22" s="1574"/>
      <c r="C22" s="1574" t="s">
        <v>1328</v>
      </c>
      <c r="D22" s="1574"/>
      <c r="E22" s="1574"/>
      <c r="F22" s="1574" t="s">
        <v>1927</v>
      </c>
      <c r="G22" s="1574"/>
      <c r="H22" s="1574"/>
      <c r="I22" s="1574"/>
      <c r="J22" s="1412">
        <v>1192843.77</v>
      </c>
      <c r="K22" s="1412">
        <v>0</v>
      </c>
      <c r="L22" s="1412">
        <v>0</v>
      </c>
      <c r="M22" s="1575">
        <v>70051.88</v>
      </c>
      <c r="N22" s="1575"/>
      <c r="O22" s="1575">
        <v>1122791.8899999999</v>
      </c>
      <c r="P22" s="1575"/>
      <c r="Q22" s="1575">
        <v>0</v>
      </c>
      <c r="R22" s="1575"/>
      <c r="S22" s="1575"/>
      <c r="T22" s="1575"/>
      <c r="U22" s="1575"/>
    </row>
    <row r="23" spans="1:21" ht="10.9" customHeight="1">
      <c r="A23" s="1574" t="s">
        <v>1322</v>
      </c>
      <c r="B23" s="1574"/>
      <c r="C23" s="1574" t="s">
        <v>3137</v>
      </c>
      <c r="D23" s="1574"/>
      <c r="E23" s="1574"/>
      <c r="F23" s="1574" t="s">
        <v>5764</v>
      </c>
      <c r="G23" s="1574"/>
      <c r="H23" s="1574"/>
      <c r="I23" s="1574"/>
      <c r="J23" s="1412">
        <v>0</v>
      </c>
      <c r="K23" s="1412">
        <v>0</v>
      </c>
      <c r="L23" s="1412">
        <v>0</v>
      </c>
      <c r="M23" s="1575">
        <v>0</v>
      </c>
      <c r="N23" s="1575"/>
      <c r="O23" s="1575">
        <v>0</v>
      </c>
      <c r="P23" s="1575"/>
      <c r="Q23" s="1575">
        <v>0</v>
      </c>
      <c r="R23" s="1575"/>
      <c r="S23" s="1575"/>
      <c r="T23" s="1575"/>
      <c r="U23" s="1575"/>
    </row>
    <row r="24" spans="1:21" ht="10.9" customHeight="1">
      <c r="A24" s="1574" t="s">
        <v>1322</v>
      </c>
      <c r="B24" s="1574"/>
      <c r="C24" s="1574" t="s">
        <v>5656</v>
      </c>
      <c r="D24" s="1574"/>
      <c r="E24" s="1574"/>
      <c r="F24" s="1574" t="s">
        <v>5660</v>
      </c>
      <c r="G24" s="1574"/>
      <c r="H24" s="1574"/>
      <c r="I24" s="1574"/>
      <c r="J24" s="1412">
        <v>45357.94</v>
      </c>
      <c r="K24" s="1412">
        <v>0</v>
      </c>
      <c r="L24" s="1412">
        <v>0.38</v>
      </c>
      <c r="M24" s="1575">
        <v>0</v>
      </c>
      <c r="N24" s="1575"/>
      <c r="O24" s="1575">
        <v>45358.32</v>
      </c>
      <c r="P24" s="1575"/>
      <c r="Q24" s="1575">
        <v>0</v>
      </c>
      <c r="R24" s="1575"/>
      <c r="S24" s="1575"/>
      <c r="T24" s="1575"/>
      <c r="U24" s="1575"/>
    </row>
    <row r="25" spans="1:21" ht="10.9" customHeight="1">
      <c r="A25" s="1574" t="s">
        <v>1322</v>
      </c>
      <c r="B25" s="1574"/>
      <c r="C25" s="1574" t="s">
        <v>5659</v>
      </c>
      <c r="D25" s="1574"/>
      <c r="E25" s="1574"/>
      <c r="F25" s="1574" t="s">
        <v>5661</v>
      </c>
      <c r="G25" s="1574"/>
      <c r="H25" s="1574"/>
      <c r="I25" s="1574"/>
      <c r="J25" s="1412">
        <v>0</v>
      </c>
      <c r="K25" s="1412">
        <v>0</v>
      </c>
      <c r="L25" s="1412">
        <v>0</v>
      </c>
      <c r="M25" s="1575">
        <v>0</v>
      </c>
      <c r="N25" s="1575"/>
      <c r="O25" s="1575">
        <v>0</v>
      </c>
      <c r="P25" s="1575"/>
      <c r="Q25" s="1575">
        <v>0</v>
      </c>
      <c r="R25" s="1575"/>
      <c r="S25" s="1575"/>
      <c r="T25" s="1575"/>
      <c r="U25" s="1575"/>
    </row>
    <row r="26" spans="1:21" ht="10.9" customHeight="1">
      <c r="A26" s="1574" t="s">
        <v>1322</v>
      </c>
      <c r="B26" s="1574"/>
      <c r="C26" s="1574" t="s">
        <v>5950</v>
      </c>
      <c r="D26" s="1574"/>
      <c r="E26" s="1574"/>
      <c r="F26" s="1574" t="s">
        <v>5952</v>
      </c>
      <c r="G26" s="1574"/>
      <c r="H26" s="1574"/>
      <c r="I26" s="1574"/>
      <c r="J26" s="1412">
        <v>14783217.390000001</v>
      </c>
      <c r="K26" s="1412">
        <v>0</v>
      </c>
      <c r="L26" s="1412">
        <v>87238229.650000006</v>
      </c>
      <c r="M26" s="1575">
        <v>85882957.75</v>
      </c>
      <c r="N26" s="1575"/>
      <c r="O26" s="1575">
        <v>16138489.289999999</v>
      </c>
      <c r="P26" s="1575"/>
      <c r="Q26" s="1575">
        <v>0</v>
      </c>
      <c r="R26" s="1575"/>
      <c r="S26" s="1575"/>
      <c r="T26" s="1575"/>
      <c r="U26" s="1575"/>
    </row>
    <row r="27" spans="1:21" ht="10.9" customHeight="1">
      <c r="A27" s="1574" t="s">
        <v>1322</v>
      </c>
      <c r="B27" s="1574"/>
      <c r="C27" s="1574" t="s">
        <v>1329</v>
      </c>
      <c r="D27" s="1574"/>
      <c r="E27" s="1574"/>
      <c r="F27" s="1574" t="s">
        <v>1330</v>
      </c>
      <c r="G27" s="1574"/>
      <c r="H27" s="1574"/>
      <c r="I27" s="1574"/>
      <c r="J27" s="1412">
        <v>180905852.13999999</v>
      </c>
      <c r="K27" s="1412">
        <v>0</v>
      </c>
      <c r="L27" s="1412">
        <v>164396175.09999999</v>
      </c>
      <c r="M27" s="1575">
        <v>258390994.55000001</v>
      </c>
      <c r="N27" s="1575"/>
      <c r="O27" s="1575">
        <v>86911032.689999998</v>
      </c>
      <c r="P27" s="1575"/>
      <c r="Q27" s="1575">
        <v>0</v>
      </c>
      <c r="R27" s="1575"/>
      <c r="S27" s="1575"/>
      <c r="T27" s="1575"/>
      <c r="U27" s="1575"/>
    </row>
    <row r="28" spans="1:21" ht="10.9" customHeight="1">
      <c r="A28" s="1574" t="s">
        <v>1322</v>
      </c>
      <c r="B28" s="1574"/>
      <c r="C28" s="1574" t="s">
        <v>176</v>
      </c>
      <c r="D28" s="1574"/>
      <c r="E28" s="1574"/>
      <c r="F28" s="1574" t="s">
        <v>1928</v>
      </c>
      <c r="G28" s="1574"/>
      <c r="H28" s="1574"/>
      <c r="I28" s="1574"/>
      <c r="J28" s="1412">
        <v>1905867.36</v>
      </c>
      <c r="K28" s="1412">
        <v>0</v>
      </c>
      <c r="L28" s="1412">
        <v>43896174.880000003</v>
      </c>
      <c r="M28" s="1575">
        <v>43891009.770000003</v>
      </c>
      <c r="N28" s="1575"/>
      <c r="O28" s="1575">
        <v>1911032.47</v>
      </c>
      <c r="P28" s="1575"/>
      <c r="Q28" s="1575">
        <v>0</v>
      </c>
      <c r="R28" s="1575"/>
      <c r="S28" s="1575"/>
      <c r="T28" s="1575"/>
      <c r="U28" s="1575"/>
    </row>
    <row r="29" spans="1:21" ht="10.9" customHeight="1">
      <c r="A29" s="1574" t="s">
        <v>1322</v>
      </c>
      <c r="B29" s="1574"/>
      <c r="C29" s="1574" t="s">
        <v>177</v>
      </c>
      <c r="D29" s="1574"/>
      <c r="E29" s="1574"/>
      <c r="F29" s="1574" t="s">
        <v>1929</v>
      </c>
      <c r="G29" s="1574"/>
      <c r="H29" s="1574"/>
      <c r="I29" s="1574"/>
      <c r="J29" s="1412">
        <v>93999984.230000004</v>
      </c>
      <c r="K29" s="1412">
        <v>0</v>
      </c>
      <c r="L29" s="1412">
        <v>35500000</v>
      </c>
      <c r="M29" s="1575">
        <v>129499984.23</v>
      </c>
      <c r="N29" s="1575"/>
      <c r="O29" s="1575">
        <v>0</v>
      </c>
      <c r="P29" s="1575"/>
      <c r="Q29" s="1575">
        <v>0</v>
      </c>
      <c r="R29" s="1575"/>
      <c r="S29" s="1575"/>
      <c r="T29" s="1575"/>
      <c r="U29" s="1575"/>
    </row>
    <row r="30" spans="1:21" ht="10.9" customHeight="1">
      <c r="A30" s="1574" t="s">
        <v>1322</v>
      </c>
      <c r="B30" s="1574"/>
      <c r="C30" s="1574" t="s">
        <v>178</v>
      </c>
      <c r="D30" s="1574"/>
      <c r="E30" s="1574"/>
      <c r="F30" s="1574" t="s">
        <v>1930</v>
      </c>
      <c r="G30" s="1574"/>
      <c r="H30" s="1574"/>
      <c r="I30" s="1574"/>
      <c r="J30" s="1412">
        <v>85000000.549999997</v>
      </c>
      <c r="K30" s="1412">
        <v>0</v>
      </c>
      <c r="L30" s="1412">
        <v>85000000.219999999</v>
      </c>
      <c r="M30" s="1575">
        <v>85000000.549999997</v>
      </c>
      <c r="N30" s="1575"/>
      <c r="O30" s="1575">
        <v>85000000.219999999</v>
      </c>
      <c r="P30" s="1575"/>
      <c r="Q30" s="1575">
        <v>0</v>
      </c>
      <c r="R30" s="1575"/>
      <c r="S30" s="1575"/>
      <c r="T30" s="1575"/>
      <c r="U30" s="1575"/>
    </row>
    <row r="31" spans="1:21" ht="10.9" customHeight="1">
      <c r="A31" s="1574" t="s">
        <v>1322</v>
      </c>
      <c r="B31" s="1574"/>
      <c r="C31" s="1574" t="s">
        <v>1931</v>
      </c>
      <c r="D31" s="1574"/>
      <c r="E31" s="1574"/>
      <c r="F31" s="1574" t="s">
        <v>1007</v>
      </c>
      <c r="G31" s="1574"/>
      <c r="H31" s="1574"/>
      <c r="I31" s="1574"/>
      <c r="J31" s="1412">
        <v>12944188.109999999</v>
      </c>
      <c r="K31" s="1412">
        <v>0</v>
      </c>
      <c r="L31" s="1412">
        <v>17888620.649999999</v>
      </c>
      <c r="M31" s="1575">
        <v>18297057.949999999</v>
      </c>
      <c r="N31" s="1575"/>
      <c r="O31" s="1575">
        <v>12535750.810000001</v>
      </c>
      <c r="P31" s="1575"/>
      <c r="Q31" s="1575">
        <v>0</v>
      </c>
      <c r="R31" s="1575"/>
      <c r="S31" s="1575"/>
      <c r="T31" s="1575"/>
      <c r="U31" s="1575"/>
    </row>
    <row r="32" spans="1:21" ht="10.9" customHeight="1">
      <c r="A32" s="1574" t="s">
        <v>1322</v>
      </c>
      <c r="B32" s="1574"/>
      <c r="C32" s="1574" t="s">
        <v>1331</v>
      </c>
      <c r="D32" s="1574"/>
      <c r="E32" s="1574"/>
      <c r="F32" s="1574" t="s">
        <v>188</v>
      </c>
      <c r="G32" s="1574"/>
      <c r="H32" s="1574"/>
      <c r="I32" s="1574"/>
      <c r="J32" s="1412">
        <v>8472861.9299999997</v>
      </c>
      <c r="K32" s="1412">
        <v>0</v>
      </c>
      <c r="L32" s="1412">
        <v>16615802.550000001</v>
      </c>
      <c r="M32" s="1575">
        <v>16779192.199999999</v>
      </c>
      <c r="N32" s="1575"/>
      <c r="O32" s="1575">
        <v>8309472.2800000003</v>
      </c>
      <c r="P32" s="1575"/>
      <c r="Q32" s="1575">
        <v>0</v>
      </c>
      <c r="R32" s="1575"/>
      <c r="S32" s="1575"/>
      <c r="T32" s="1575"/>
      <c r="U32" s="1575"/>
    </row>
    <row r="33" spans="1:21" ht="10.9" customHeight="1">
      <c r="A33" s="1574" t="s">
        <v>1322</v>
      </c>
      <c r="B33" s="1574"/>
      <c r="C33" s="1574" t="s">
        <v>1332</v>
      </c>
      <c r="D33" s="1574"/>
      <c r="E33" s="1574"/>
      <c r="F33" s="1574" t="s">
        <v>1932</v>
      </c>
      <c r="G33" s="1574"/>
      <c r="H33" s="1574"/>
      <c r="I33" s="1574"/>
      <c r="J33" s="1412">
        <v>315642.09999999998</v>
      </c>
      <c r="K33" s="1412">
        <v>0</v>
      </c>
      <c r="L33" s="1412">
        <v>189901.83</v>
      </c>
      <c r="M33" s="1575">
        <v>61477.3</v>
      </c>
      <c r="N33" s="1575"/>
      <c r="O33" s="1575">
        <v>444066.63</v>
      </c>
      <c r="P33" s="1575"/>
      <c r="Q33" s="1575">
        <v>0</v>
      </c>
      <c r="R33" s="1575"/>
      <c r="S33" s="1575"/>
      <c r="T33" s="1575"/>
      <c r="U33" s="1575"/>
    </row>
    <row r="34" spans="1:21" ht="19.149999999999999" customHeight="1">
      <c r="A34" s="1574" t="s">
        <v>1322</v>
      </c>
      <c r="B34" s="1574"/>
      <c r="C34" s="1574" t="s">
        <v>1333</v>
      </c>
      <c r="D34" s="1574"/>
      <c r="E34" s="1574"/>
      <c r="F34" s="1574" t="s">
        <v>1933</v>
      </c>
      <c r="G34" s="1574"/>
      <c r="H34" s="1574"/>
      <c r="I34" s="1574"/>
      <c r="J34" s="1412">
        <v>0</v>
      </c>
      <c r="K34" s="1412">
        <v>0</v>
      </c>
      <c r="L34" s="1412">
        <v>46479.91</v>
      </c>
      <c r="M34" s="1575">
        <v>46479.91</v>
      </c>
      <c r="N34" s="1575"/>
      <c r="O34" s="1575">
        <v>0</v>
      </c>
      <c r="P34" s="1575"/>
      <c r="Q34" s="1575">
        <v>0</v>
      </c>
      <c r="R34" s="1575"/>
      <c r="S34" s="1575"/>
      <c r="T34" s="1575"/>
      <c r="U34" s="1575"/>
    </row>
    <row r="35" spans="1:21" ht="10.9" customHeight="1">
      <c r="A35" s="1574" t="s">
        <v>1322</v>
      </c>
      <c r="B35" s="1574"/>
      <c r="C35" s="1574" t="s">
        <v>1334</v>
      </c>
      <c r="D35" s="1574"/>
      <c r="E35" s="1574"/>
      <c r="F35" s="1574" t="s">
        <v>1934</v>
      </c>
      <c r="G35" s="1574"/>
      <c r="H35" s="1574"/>
      <c r="I35" s="1574"/>
      <c r="J35" s="1412">
        <v>19489.77</v>
      </c>
      <c r="K35" s="1412">
        <v>0</v>
      </c>
      <c r="L35" s="1412">
        <v>1735554.05</v>
      </c>
      <c r="M35" s="1575">
        <v>740334.11</v>
      </c>
      <c r="N35" s="1575"/>
      <c r="O35" s="1575">
        <v>1014709.71</v>
      </c>
      <c r="P35" s="1575"/>
      <c r="Q35" s="1575">
        <v>0</v>
      </c>
      <c r="R35" s="1575"/>
      <c r="S35" s="1575"/>
      <c r="T35" s="1575"/>
      <c r="U35" s="1575"/>
    </row>
    <row r="36" spans="1:21" ht="10.9" customHeight="1">
      <c r="A36" s="1574" t="s">
        <v>1322</v>
      </c>
      <c r="B36" s="1574"/>
      <c r="C36" s="1574" t="s">
        <v>1335</v>
      </c>
      <c r="D36" s="1574"/>
      <c r="E36" s="1574"/>
      <c r="F36" s="1574" t="s">
        <v>1935</v>
      </c>
      <c r="G36" s="1574"/>
      <c r="H36" s="1574"/>
      <c r="I36" s="1574"/>
      <c r="J36" s="1412">
        <v>14352.79</v>
      </c>
      <c r="K36" s="1412">
        <v>0</v>
      </c>
      <c r="L36" s="1412">
        <v>60447.56</v>
      </c>
      <c r="M36" s="1575">
        <v>60430.13</v>
      </c>
      <c r="N36" s="1575"/>
      <c r="O36" s="1575">
        <v>14370.22</v>
      </c>
      <c r="P36" s="1575"/>
      <c r="Q36" s="1575">
        <v>0</v>
      </c>
      <c r="R36" s="1575"/>
      <c r="S36" s="1575"/>
      <c r="T36" s="1575"/>
      <c r="U36" s="1575"/>
    </row>
    <row r="37" spans="1:21" ht="10.9" customHeight="1">
      <c r="A37" s="1574" t="s">
        <v>1322</v>
      </c>
      <c r="B37" s="1574"/>
      <c r="C37" s="1574" t="s">
        <v>1336</v>
      </c>
      <c r="D37" s="1574"/>
      <c r="E37" s="1574"/>
      <c r="F37" s="1574" t="s">
        <v>1936</v>
      </c>
      <c r="G37" s="1574"/>
      <c r="H37" s="1574"/>
      <c r="I37" s="1574"/>
      <c r="J37" s="1412">
        <v>0</v>
      </c>
      <c r="K37" s="1412">
        <v>0</v>
      </c>
      <c r="L37" s="1412">
        <v>6161.11</v>
      </c>
      <c r="M37" s="1575">
        <v>6161.11</v>
      </c>
      <c r="N37" s="1575"/>
      <c r="O37" s="1575">
        <v>0</v>
      </c>
      <c r="P37" s="1575"/>
      <c r="Q37" s="1575">
        <v>0</v>
      </c>
      <c r="R37" s="1575"/>
      <c r="S37" s="1575"/>
      <c r="T37" s="1575"/>
      <c r="U37" s="1575"/>
    </row>
    <row r="38" spans="1:21" ht="10.9" customHeight="1">
      <c r="A38" s="1574" t="s">
        <v>1322</v>
      </c>
      <c r="B38" s="1574"/>
      <c r="C38" s="1574" t="s">
        <v>2835</v>
      </c>
      <c r="D38" s="1574"/>
      <c r="E38" s="1574"/>
      <c r="F38" s="1574" t="s">
        <v>2836</v>
      </c>
      <c r="G38" s="1574"/>
      <c r="H38" s="1574"/>
      <c r="I38" s="1574"/>
      <c r="J38" s="1412">
        <v>0</v>
      </c>
      <c r="K38" s="1412">
        <v>0</v>
      </c>
      <c r="L38" s="1412">
        <v>66246.64</v>
      </c>
      <c r="M38" s="1575">
        <v>66246.64</v>
      </c>
      <c r="N38" s="1575"/>
      <c r="O38" s="1575">
        <v>0</v>
      </c>
      <c r="P38" s="1575"/>
      <c r="Q38" s="1575">
        <v>0</v>
      </c>
      <c r="R38" s="1575"/>
      <c r="S38" s="1575"/>
      <c r="T38" s="1575"/>
      <c r="U38" s="1575"/>
    </row>
    <row r="39" spans="1:21" ht="10.9" customHeight="1">
      <c r="A39" s="1574" t="s">
        <v>1322</v>
      </c>
      <c r="B39" s="1574"/>
      <c r="C39" s="1574" t="s">
        <v>1337</v>
      </c>
      <c r="D39" s="1574"/>
      <c r="E39" s="1574"/>
      <c r="F39" s="1574" t="s">
        <v>1937</v>
      </c>
      <c r="G39" s="1574"/>
      <c r="H39" s="1574"/>
      <c r="I39" s="1574"/>
      <c r="J39" s="1412">
        <v>0</v>
      </c>
      <c r="K39" s="1412">
        <v>0</v>
      </c>
      <c r="L39" s="1412">
        <v>8609.5</v>
      </c>
      <c r="M39" s="1575">
        <v>8609.5</v>
      </c>
      <c r="N39" s="1575"/>
      <c r="O39" s="1575">
        <v>0</v>
      </c>
      <c r="P39" s="1575"/>
      <c r="Q39" s="1575">
        <v>0</v>
      </c>
      <c r="R39" s="1575"/>
      <c r="S39" s="1575"/>
      <c r="T39" s="1575"/>
      <c r="U39" s="1575"/>
    </row>
    <row r="40" spans="1:21" ht="10.9" customHeight="1">
      <c r="A40" s="1574" t="s">
        <v>1322</v>
      </c>
      <c r="B40" s="1574"/>
      <c r="C40" s="1574" t="s">
        <v>5765</v>
      </c>
      <c r="D40" s="1574"/>
      <c r="E40" s="1574"/>
      <c r="F40" s="1574" t="s">
        <v>5766</v>
      </c>
      <c r="G40" s="1574"/>
      <c r="H40" s="1574"/>
      <c r="I40" s="1574"/>
      <c r="J40" s="1412">
        <v>0</v>
      </c>
      <c r="K40" s="1412">
        <v>0</v>
      </c>
      <c r="L40" s="1412">
        <v>10122.290000000001</v>
      </c>
      <c r="M40" s="1575">
        <v>0</v>
      </c>
      <c r="N40" s="1575"/>
      <c r="O40" s="1575">
        <v>10122.290000000001</v>
      </c>
      <c r="P40" s="1575"/>
      <c r="Q40" s="1575">
        <v>0</v>
      </c>
      <c r="R40" s="1575"/>
      <c r="S40" s="1575"/>
      <c r="T40" s="1575"/>
      <c r="U40" s="1575"/>
    </row>
    <row r="41" spans="1:21" ht="10.9" customHeight="1">
      <c r="A41" s="1574" t="s">
        <v>1322</v>
      </c>
      <c r="B41" s="1574"/>
      <c r="C41" s="1574" t="s">
        <v>1338</v>
      </c>
      <c r="D41" s="1574"/>
      <c r="E41" s="1574"/>
      <c r="F41" s="1574" t="s">
        <v>1938</v>
      </c>
      <c r="G41" s="1574"/>
      <c r="H41" s="1574"/>
      <c r="I41" s="1574"/>
      <c r="J41" s="1412">
        <v>0</v>
      </c>
      <c r="K41" s="1412">
        <v>0</v>
      </c>
      <c r="L41" s="1412">
        <v>8902.6</v>
      </c>
      <c r="M41" s="1575">
        <v>8902.6</v>
      </c>
      <c r="N41" s="1575"/>
      <c r="O41" s="1575">
        <v>0</v>
      </c>
      <c r="P41" s="1575"/>
      <c r="Q41" s="1575">
        <v>0</v>
      </c>
      <c r="R41" s="1575"/>
      <c r="S41" s="1575"/>
      <c r="T41" s="1575"/>
      <c r="U41" s="1575"/>
    </row>
    <row r="42" spans="1:21" ht="10.9" customHeight="1">
      <c r="A42" s="1574" t="s">
        <v>1322</v>
      </c>
      <c r="B42" s="1574"/>
      <c r="C42" s="1574" t="s">
        <v>1339</v>
      </c>
      <c r="D42" s="1574"/>
      <c r="E42" s="1574"/>
      <c r="F42" s="1574" t="s">
        <v>1939</v>
      </c>
      <c r="G42" s="1574"/>
      <c r="H42" s="1574"/>
      <c r="I42" s="1574"/>
      <c r="J42" s="1412">
        <v>0</v>
      </c>
      <c r="K42" s="1412">
        <v>0</v>
      </c>
      <c r="L42" s="1412">
        <v>7947.09</v>
      </c>
      <c r="M42" s="1575">
        <v>7947.09</v>
      </c>
      <c r="N42" s="1575"/>
      <c r="O42" s="1575">
        <v>0</v>
      </c>
      <c r="P42" s="1575"/>
      <c r="Q42" s="1575">
        <v>0</v>
      </c>
      <c r="R42" s="1575"/>
      <c r="S42" s="1575"/>
      <c r="T42" s="1575"/>
      <c r="U42" s="1575"/>
    </row>
    <row r="43" spans="1:21" ht="10.9" customHeight="1">
      <c r="A43" s="1574" t="s">
        <v>1322</v>
      </c>
      <c r="B43" s="1574"/>
      <c r="C43" s="1574" t="s">
        <v>1340</v>
      </c>
      <c r="D43" s="1574"/>
      <c r="E43" s="1574"/>
      <c r="F43" s="1574" t="s">
        <v>1940</v>
      </c>
      <c r="G43" s="1574"/>
      <c r="H43" s="1574"/>
      <c r="I43" s="1574"/>
      <c r="J43" s="1412">
        <v>13082.45</v>
      </c>
      <c r="K43" s="1412">
        <v>0</v>
      </c>
      <c r="L43" s="1412">
        <v>5155.1099999999997</v>
      </c>
      <c r="M43" s="1575">
        <v>13082.45</v>
      </c>
      <c r="N43" s="1575"/>
      <c r="O43" s="1575">
        <v>5155.1099999999997</v>
      </c>
      <c r="P43" s="1575"/>
      <c r="Q43" s="1575">
        <v>0</v>
      </c>
      <c r="R43" s="1575"/>
      <c r="S43" s="1575"/>
      <c r="T43" s="1575"/>
      <c r="U43" s="1575"/>
    </row>
    <row r="44" spans="1:21" ht="10.9" customHeight="1">
      <c r="A44" s="1574" t="s">
        <v>1322</v>
      </c>
      <c r="B44" s="1574"/>
      <c r="C44" s="1574" t="s">
        <v>1341</v>
      </c>
      <c r="D44" s="1574"/>
      <c r="E44" s="1574"/>
      <c r="F44" s="1574" t="s">
        <v>1941</v>
      </c>
      <c r="G44" s="1574"/>
      <c r="H44" s="1574"/>
      <c r="I44" s="1574"/>
      <c r="J44" s="1412">
        <v>35539.54</v>
      </c>
      <c r="K44" s="1412">
        <v>0</v>
      </c>
      <c r="L44" s="1412">
        <v>11417.76</v>
      </c>
      <c r="M44" s="1575">
        <v>0</v>
      </c>
      <c r="N44" s="1575"/>
      <c r="O44" s="1575">
        <v>46957.3</v>
      </c>
      <c r="P44" s="1575"/>
      <c r="Q44" s="1575">
        <v>0</v>
      </c>
      <c r="R44" s="1575"/>
      <c r="S44" s="1575"/>
      <c r="T44" s="1575"/>
      <c r="U44" s="1575"/>
    </row>
    <row r="45" spans="1:21" ht="10.9" customHeight="1">
      <c r="A45" s="1574" t="s">
        <v>1322</v>
      </c>
      <c r="B45" s="1574"/>
      <c r="C45" s="1574" t="s">
        <v>1342</v>
      </c>
      <c r="D45" s="1574"/>
      <c r="E45" s="1574"/>
      <c r="F45" s="1574" t="s">
        <v>1942</v>
      </c>
      <c r="G45" s="1574"/>
      <c r="H45" s="1574"/>
      <c r="I45" s="1574"/>
      <c r="J45" s="1412">
        <v>9915.15</v>
      </c>
      <c r="K45" s="1412">
        <v>0</v>
      </c>
      <c r="L45" s="1412">
        <v>7754.13</v>
      </c>
      <c r="M45" s="1575">
        <v>17669.28</v>
      </c>
      <c r="N45" s="1575"/>
      <c r="O45" s="1575">
        <v>0</v>
      </c>
      <c r="P45" s="1575"/>
      <c r="Q45" s="1575">
        <v>0</v>
      </c>
      <c r="R45" s="1575"/>
      <c r="S45" s="1575"/>
      <c r="T45" s="1575"/>
      <c r="U45" s="1575"/>
    </row>
    <row r="46" spans="1:21" ht="10.9" customHeight="1">
      <c r="A46" s="1574" t="s">
        <v>1322</v>
      </c>
      <c r="B46" s="1574"/>
      <c r="C46" s="1574" t="s">
        <v>1343</v>
      </c>
      <c r="D46" s="1574"/>
      <c r="E46" s="1574"/>
      <c r="F46" s="1574" t="s">
        <v>1943</v>
      </c>
      <c r="G46" s="1574"/>
      <c r="H46" s="1574"/>
      <c r="I46" s="1574"/>
      <c r="J46" s="1412">
        <v>33135.14</v>
      </c>
      <c r="K46" s="1412">
        <v>0</v>
      </c>
      <c r="L46" s="1412">
        <v>28631.57</v>
      </c>
      <c r="M46" s="1575">
        <v>0</v>
      </c>
      <c r="N46" s="1575"/>
      <c r="O46" s="1575">
        <v>61766.71</v>
      </c>
      <c r="P46" s="1575"/>
      <c r="Q46" s="1575">
        <v>0</v>
      </c>
      <c r="R46" s="1575"/>
      <c r="S46" s="1575"/>
      <c r="T46" s="1575"/>
      <c r="U46" s="1575"/>
    </row>
    <row r="47" spans="1:21" ht="10.9" customHeight="1">
      <c r="A47" s="1574" t="s">
        <v>1322</v>
      </c>
      <c r="B47" s="1574"/>
      <c r="C47" s="1574" t="s">
        <v>1344</v>
      </c>
      <c r="D47" s="1574"/>
      <c r="E47" s="1574"/>
      <c r="F47" s="1574" t="s">
        <v>1944</v>
      </c>
      <c r="G47" s="1574"/>
      <c r="H47" s="1574"/>
      <c r="I47" s="1574"/>
      <c r="J47" s="1412">
        <v>1313.15</v>
      </c>
      <c r="K47" s="1412">
        <v>0</v>
      </c>
      <c r="L47" s="1412">
        <v>2948.31</v>
      </c>
      <c r="M47" s="1575">
        <v>0</v>
      </c>
      <c r="N47" s="1575"/>
      <c r="O47" s="1575">
        <v>4261.46</v>
      </c>
      <c r="P47" s="1575"/>
      <c r="Q47" s="1575">
        <v>0</v>
      </c>
      <c r="R47" s="1575"/>
      <c r="S47" s="1575"/>
      <c r="T47" s="1575"/>
      <c r="U47" s="1575"/>
    </row>
    <row r="48" spans="1:21" ht="10.9" customHeight="1">
      <c r="A48" s="1574" t="s">
        <v>1322</v>
      </c>
      <c r="B48" s="1574"/>
      <c r="C48" s="1574" t="s">
        <v>1345</v>
      </c>
      <c r="D48" s="1574"/>
      <c r="E48" s="1574"/>
      <c r="F48" s="1574" t="s">
        <v>1945</v>
      </c>
      <c r="G48" s="1574"/>
      <c r="H48" s="1574"/>
      <c r="I48" s="1574"/>
      <c r="J48" s="1412">
        <v>0</v>
      </c>
      <c r="K48" s="1412">
        <v>0</v>
      </c>
      <c r="L48" s="1412">
        <v>7044.22</v>
      </c>
      <c r="M48" s="1575">
        <v>7044.22</v>
      </c>
      <c r="N48" s="1575"/>
      <c r="O48" s="1575">
        <v>0</v>
      </c>
      <c r="P48" s="1575"/>
      <c r="Q48" s="1575">
        <v>0</v>
      </c>
      <c r="R48" s="1575"/>
      <c r="S48" s="1575"/>
      <c r="T48" s="1575"/>
      <c r="U48" s="1575"/>
    </row>
    <row r="49" spans="1:23" ht="10.9" customHeight="1">
      <c r="A49" s="1574" t="s">
        <v>1322</v>
      </c>
      <c r="B49" s="1574"/>
      <c r="C49" s="1574" t="s">
        <v>2837</v>
      </c>
      <c r="D49" s="1574"/>
      <c r="E49" s="1574"/>
      <c r="F49" s="1574" t="s">
        <v>2838</v>
      </c>
      <c r="G49" s="1574"/>
      <c r="H49" s="1574"/>
      <c r="I49" s="1574"/>
      <c r="J49" s="1412">
        <v>0</v>
      </c>
      <c r="K49" s="1412">
        <v>0</v>
      </c>
      <c r="L49" s="1412">
        <v>1843.3</v>
      </c>
      <c r="M49" s="1575">
        <v>1843.3</v>
      </c>
      <c r="N49" s="1575"/>
      <c r="O49" s="1575">
        <v>0</v>
      </c>
      <c r="P49" s="1575"/>
      <c r="Q49" s="1575">
        <v>0</v>
      </c>
      <c r="R49" s="1575"/>
      <c r="S49" s="1575"/>
      <c r="T49" s="1575"/>
      <c r="U49" s="1575"/>
    </row>
    <row r="50" spans="1:23" ht="6.95" customHeight="1"/>
    <row r="51" spans="1:23" ht="14.1" customHeight="1">
      <c r="S51" s="1573" t="s">
        <v>1955</v>
      </c>
      <c r="T51" s="1573"/>
      <c r="U51" s="1573"/>
      <c r="V51" s="1573"/>
      <c r="W51" s="1573"/>
    </row>
    <row r="52" spans="1:23" ht="7.15" customHeight="1">
      <c r="C52" s="1586" t="s">
        <v>2987</v>
      </c>
      <c r="D52" s="1586"/>
      <c r="E52" s="1586"/>
      <c r="F52" s="1586"/>
      <c r="G52" s="1586"/>
      <c r="H52" s="1586"/>
      <c r="I52" s="1586"/>
      <c r="J52" s="1586"/>
      <c r="K52" s="1586"/>
      <c r="L52" s="1586"/>
      <c r="M52" s="1586"/>
      <c r="N52" s="1586"/>
      <c r="O52" s="1586"/>
      <c r="P52" s="1586"/>
      <c r="Q52" s="1586"/>
      <c r="R52" s="1586"/>
      <c r="S52" s="1586"/>
      <c r="T52" s="1586"/>
    </row>
    <row r="53" spans="1:23" ht="9.6" customHeight="1">
      <c r="A53" s="1587"/>
      <c r="B53" s="1587"/>
      <c r="C53" s="1587"/>
      <c r="D53" s="1587"/>
      <c r="E53" s="1587"/>
      <c r="F53" s="1587"/>
      <c r="G53" s="1586"/>
      <c r="H53" s="1586"/>
      <c r="I53" s="1586"/>
      <c r="J53" s="1586"/>
      <c r="K53" s="1586"/>
      <c r="L53" s="1586"/>
      <c r="M53" s="1586"/>
      <c r="N53" s="1586"/>
      <c r="O53" s="1586"/>
      <c r="P53" s="1586"/>
      <c r="Q53" s="1586"/>
      <c r="R53" s="1586"/>
      <c r="S53" s="1586"/>
      <c r="T53" s="1586"/>
    </row>
    <row r="54" spans="1:23" ht="13.35" customHeight="1">
      <c r="A54" s="1587"/>
      <c r="B54" s="1587"/>
      <c r="C54" s="1587"/>
      <c r="D54" s="1587"/>
      <c r="E54" s="1587"/>
      <c r="F54" s="1587"/>
      <c r="G54" s="1588" t="s">
        <v>79</v>
      </c>
      <c r="H54" s="1588"/>
      <c r="I54" s="1588"/>
      <c r="J54" s="1588"/>
      <c r="K54" s="1588"/>
      <c r="L54" s="1588"/>
      <c r="M54" s="1588"/>
      <c r="N54" s="1588"/>
      <c r="O54" s="1588"/>
      <c r="P54" s="1588"/>
      <c r="Q54" s="1588"/>
      <c r="R54" s="1588"/>
    </row>
    <row r="55" spans="1:23" ht="5.25" customHeight="1">
      <c r="A55" s="1587"/>
      <c r="B55" s="1587"/>
      <c r="C55" s="1587"/>
      <c r="D55" s="1587"/>
      <c r="E55" s="1587"/>
      <c r="F55" s="1587"/>
      <c r="G55" s="1581" t="s">
        <v>7015</v>
      </c>
      <c r="H55" s="1581"/>
      <c r="I55" s="1581"/>
      <c r="J55" s="1581"/>
      <c r="K55" s="1581"/>
      <c r="L55" s="1581"/>
      <c r="M55" s="1581"/>
      <c r="N55" s="1581"/>
      <c r="O55" s="1581"/>
      <c r="P55" s="1581"/>
      <c r="Q55" s="1581"/>
    </row>
    <row r="56" spans="1:23" ht="8.1" customHeight="1">
      <c r="B56" s="1580" t="s">
        <v>1916</v>
      </c>
      <c r="C56" s="1580"/>
      <c r="D56" s="1580"/>
      <c r="E56" s="1580"/>
      <c r="F56" s="1580"/>
      <c r="G56" s="1580"/>
      <c r="H56" s="1581"/>
      <c r="I56" s="1581"/>
      <c r="J56" s="1581"/>
      <c r="K56" s="1581"/>
      <c r="L56" s="1581"/>
      <c r="M56" s="1581"/>
      <c r="N56" s="1582" t="s">
        <v>5619</v>
      </c>
      <c r="O56" s="1582"/>
      <c r="P56" s="1582"/>
      <c r="Q56" s="1582"/>
      <c r="R56" s="1582"/>
      <c r="S56" s="1582"/>
      <c r="T56" s="1583" t="s">
        <v>7016</v>
      </c>
      <c r="U56" s="1583"/>
      <c r="V56" s="1583"/>
      <c r="W56" s="1583"/>
    </row>
    <row r="57" spans="1:23" ht="6" customHeight="1">
      <c r="B57" s="1580"/>
      <c r="C57" s="1580"/>
      <c r="D57" s="1580"/>
      <c r="E57" s="1580"/>
      <c r="F57" s="1580"/>
      <c r="G57" s="1580"/>
      <c r="H57" s="1584" t="s">
        <v>7017</v>
      </c>
      <c r="I57" s="1584"/>
      <c r="J57" s="1584"/>
      <c r="K57" s="1584"/>
      <c r="L57" s="1584"/>
      <c r="M57" s="1584"/>
      <c r="N57" s="1582"/>
      <c r="O57" s="1582"/>
      <c r="P57" s="1582"/>
      <c r="Q57" s="1582"/>
      <c r="R57" s="1582"/>
      <c r="S57" s="1582"/>
      <c r="T57" s="1583"/>
      <c r="U57" s="1583"/>
      <c r="V57" s="1583"/>
      <c r="W57" s="1583"/>
    </row>
    <row r="58" spans="1:23" ht="7.35" customHeight="1">
      <c r="B58" s="1580" t="s">
        <v>1994</v>
      </c>
      <c r="C58" s="1580"/>
      <c r="D58" s="1580"/>
      <c r="E58" s="1585"/>
      <c r="F58" s="1585"/>
      <c r="G58" s="1585"/>
      <c r="H58" s="1585"/>
      <c r="I58" s="1585"/>
      <c r="J58" s="1585"/>
      <c r="K58" s="1585"/>
      <c r="L58" s="1585"/>
      <c r="M58" s="1585"/>
      <c r="N58" s="1585"/>
      <c r="O58" s="1585"/>
      <c r="P58" s="1585"/>
      <c r="Q58" s="1585"/>
      <c r="R58" s="1582"/>
      <c r="S58" s="1582"/>
      <c r="T58" s="1582" t="s">
        <v>7018</v>
      </c>
      <c r="U58" s="1582"/>
    </row>
    <row r="59" spans="1:23" ht="6.75" customHeight="1">
      <c r="E59" s="1585"/>
      <c r="F59" s="1585"/>
      <c r="G59" s="1585"/>
      <c r="H59" s="1585"/>
      <c r="I59" s="1585"/>
      <c r="J59" s="1585"/>
      <c r="K59" s="1585"/>
      <c r="L59" s="1585"/>
      <c r="M59" s="1585"/>
      <c r="N59" s="1585"/>
      <c r="O59" s="1585"/>
      <c r="P59" s="1585"/>
      <c r="Q59" s="1585"/>
      <c r="R59" s="1582"/>
      <c r="S59" s="1582"/>
      <c r="T59" s="1582"/>
      <c r="U59" s="1582"/>
    </row>
    <row r="60" spans="1:23" ht="10.9" customHeight="1">
      <c r="A60" s="1576"/>
      <c r="B60" s="1576"/>
      <c r="C60" s="1576"/>
      <c r="D60" s="1576"/>
      <c r="E60" s="1576"/>
      <c r="F60" s="1576"/>
      <c r="G60" s="1576"/>
      <c r="H60" s="1576"/>
      <c r="I60" s="1576"/>
      <c r="J60" s="1577" t="s">
        <v>1314</v>
      </c>
      <c r="K60" s="1577"/>
      <c r="L60" s="1577" t="s">
        <v>1315</v>
      </c>
      <c r="M60" s="1577"/>
      <c r="N60" s="1577"/>
      <c r="O60" s="1577" t="s">
        <v>1316</v>
      </c>
      <c r="P60" s="1577"/>
      <c r="Q60" s="1577"/>
      <c r="R60" s="1577"/>
      <c r="S60" s="1577"/>
      <c r="T60" s="1577"/>
      <c r="U60" s="1577"/>
    </row>
    <row r="61" spans="1:23" ht="14.1" customHeight="1">
      <c r="A61" s="1578" t="s">
        <v>1317</v>
      </c>
      <c r="B61" s="1578"/>
      <c r="C61" s="1578" t="s">
        <v>1318</v>
      </c>
      <c r="D61" s="1578"/>
      <c r="E61" s="1578"/>
      <c r="F61" s="1578" t="s">
        <v>1319</v>
      </c>
      <c r="G61" s="1578"/>
      <c r="H61" s="1578"/>
      <c r="I61" s="1578"/>
      <c r="J61" s="1413" t="s">
        <v>1320</v>
      </c>
      <c r="K61" s="1413" t="s">
        <v>1321</v>
      </c>
      <c r="L61" s="1413" t="s">
        <v>1320</v>
      </c>
      <c r="M61" s="1579" t="s">
        <v>1321</v>
      </c>
      <c r="N61" s="1579"/>
      <c r="O61" s="1579" t="s">
        <v>1320</v>
      </c>
      <c r="P61" s="1579"/>
      <c r="Q61" s="1579" t="s">
        <v>1321</v>
      </c>
      <c r="R61" s="1579"/>
      <c r="S61" s="1579"/>
      <c r="T61" s="1579"/>
      <c r="U61" s="1579"/>
    </row>
    <row r="62" spans="1:23" ht="14.1" customHeight="1">
      <c r="A62" s="1574" t="s">
        <v>1322</v>
      </c>
      <c r="B62" s="1574"/>
      <c r="C62" s="1574" t="s">
        <v>1346</v>
      </c>
      <c r="D62" s="1574"/>
      <c r="E62" s="1574"/>
      <c r="F62" s="1574" t="s">
        <v>1946</v>
      </c>
      <c r="G62" s="1574"/>
      <c r="H62" s="1574"/>
      <c r="I62" s="1574"/>
      <c r="J62" s="1412">
        <v>0</v>
      </c>
      <c r="K62" s="1412">
        <v>0</v>
      </c>
      <c r="L62" s="1412">
        <v>357.34</v>
      </c>
      <c r="M62" s="1575">
        <v>357.34</v>
      </c>
      <c r="N62" s="1575"/>
      <c r="O62" s="1575">
        <v>0</v>
      </c>
      <c r="P62" s="1575"/>
      <c r="Q62" s="1575">
        <v>0</v>
      </c>
      <c r="R62" s="1575"/>
      <c r="S62" s="1575"/>
      <c r="T62" s="1575"/>
      <c r="U62" s="1575"/>
    </row>
    <row r="63" spans="1:23" ht="10.9" customHeight="1">
      <c r="A63" s="1574" t="s">
        <v>1322</v>
      </c>
      <c r="B63" s="1574"/>
      <c r="C63" s="1574" t="s">
        <v>1347</v>
      </c>
      <c r="D63" s="1574"/>
      <c r="E63" s="1574"/>
      <c r="F63" s="1574" t="s">
        <v>1947</v>
      </c>
      <c r="G63" s="1574"/>
      <c r="H63" s="1574"/>
      <c r="I63" s="1574"/>
      <c r="J63" s="1412">
        <v>0</v>
      </c>
      <c r="K63" s="1412">
        <v>0</v>
      </c>
      <c r="L63" s="1412">
        <v>199011.48</v>
      </c>
      <c r="M63" s="1575">
        <v>199011.48</v>
      </c>
      <c r="N63" s="1575"/>
      <c r="O63" s="1575">
        <v>0</v>
      </c>
      <c r="P63" s="1575"/>
      <c r="Q63" s="1575">
        <v>0</v>
      </c>
      <c r="R63" s="1575"/>
      <c r="S63" s="1575"/>
      <c r="T63" s="1575"/>
      <c r="U63" s="1575"/>
    </row>
    <row r="64" spans="1:23" ht="10.9" customHeight="1">
      <c r="A64" s="1574" t="s">
        <v>1322</v>
      </c>
      <c r="B64" s="1574"/>
      <c r="C64" s="1574" t="s">
        <v>1348</v>
      </c>
      <c r="D64" s="1574"/>
      <c r="E64" s="1574"/>
      <c r="F64" s="1574" t="s">
        <v>1948</v>
      </c>
      <c r="G64" s="1574"/>
      <c r="H64" s="1574"/>
      <c r="I64" s="1574"/>
      <c r="J64" s="1412">
        <v>0</v>
      </c>
      <c r="K64" s="1412">
        <v>0</v>
      </c>
      <c r="L64" s="1412">
        <v>17349.2</v>
      </c>
      <c r="M64" s="1575">
        <v>17349.2</v>
      </c>
      <c r="N64" s="1575"/>
      <c r="O64" s="1575">
        <v>0</v>
      </c>
      <c r="P64" s="1575"/>
      <c r="Q64" s="1575">
        <v>0</v>
      </c>
      <c r="R64" s="1575"/>
      <c r="S64" s="1575"/>
      <c r="T64" s="1575"/>
      <c r="U64" s="1575"/>
    </row>
    <row r="65" spans="1:21" ht="10.9" customHeight="1">
      <c r="A65" s="1574" t="s">
        <v>1322</v>
      </c>
      <c r="B65" s="1574"/>
      <c r="C65" s="1574" t="s">
        <v>2839</v>
      </c>
      <c r="D65" s="1574"/>
      <c r="E65" s="1574"/>
      <c r="F65" s="1574" t="s">
        <v>2840</v>
      </c>
      <c r="G65" s="1574"/>
      <c r="H65" s="1574"/>
      <c r="I65" s="1574"/>
      <c r="J65" s="1412">
        <v>3763.26</v>
      </c>
      <c r="K65" s="1412">
        <v>0</v>
      </c>
      <c r="L65" s="1412">
        <v>1017.03</v>
      </c>
      <c r="M65" s="1575">
        <v>1017.03</v>
      </c>
      <c r="N65" s="1575"/>
      <c r="O65" s="1575">
        <v>3763.26</v>
      </c>
      <c r="P65" s="1575"/>
      <c r="Q65" s="1575">
        <v>0</v>
      </c>
      <c r="R65" s="1575"/>
      <c r="S65" s="1575"/>
      <c r="T65" s="1575"/>
      <c r="U65" s="1575"/>
    </row>
    <row r="66" spans="1:21" ht="10.9" customHeight="1">
      <c r="A66" s="1574" t="s">
        <v>1322</v>
      </c>
      <c r="B66" s="1574"/>
      <c r="C66" s="1574" t="s">
        <v>1349</v>
      </c>
      <c r="D66" s="1574"/>
      <c r="E66" s="1574"/>
      <c r="F66" s="1574" t="s">
        <v>1949</v>
      </c>
      <c r="G66" s="1574"/>
      <c r="H66" s="1574"/>
      <c r="I66" s="1574"/>
      <c r="J66" s="1412">
        <v>0</v>
      </c>
      <c r="K66" s="1412">
        <v>0</v>
      </c>
      <c r="L66" s="1412">
        <v>11637.95</v>
      </c>
      <c r="M66" s="1575">
        <v>0</v>
      </c>
      <c r="N66" s="1575"/>
      <c r="O66" s="1575">
        <v>11637.95</v>
      </c>
      <c r="P66" s="1575"/>
      <c r="Q66" s="1575">
        <v>0</v>
      </c>
      <c r="R66" s="1575"/>
      <c r="S66" s="1575"/>
      <c r="T66" s="1575"/>
      <c r="U66" s="1575"/>
    </row>
    <row r="67" spans="1:21" ht="10.9" customHeight="1">
      <c r="A67" s="1574" t="s">
        <v>1322</v>
      </c>
      <c r="B67" s="1574"/>
      <c r="C67" s="1574" t="s">
        <v>1350</v>
      </c>
      <c r="D67" s="1574"/>
      <c r="E67" s="1574"/>
      <c r="F67" s="1574" t="s">
        <v>1950</v>
      </c>
      <c r="G67" s="1574"/>
      <c r="H67" s="1574"/>
      <c r="I67" s="1574"/>
      <c r="J67" s="1412">
        <v>360211.51</v>
      </c>
      <c r="K67" s="1412">
        <v>0</v>
      </c>
      <c r="L67" s="1412">
        <v>0</v>
      </c>
      <c r="M67" s="1575">
        <v>0</v>
      </c>
      <c r="N67" s="1575"/>
      <c r="O67" s="1575">
        <v>360211.51</v>
      </c>
      <c r="P67" s="1575"/>
      <c r="Q67" s="1575">
        <v>0</v>
      </c>
      <c r="R67" s="1575"/>
      <c r="S67" s="1575"/>
      <c r="T67" s="1575"/>
      <c r="U67" s="1575"/>
    </row>
    <row r="68" spans="1:21" ht="10.9" customHeight="1">
      <c r="A68" s="1574" t="s">
        <v>1322</v>
      </c>
      <c r="B68" s="1574"/>
      <c r="C68" s="1574" t="s">
        <v>1351</v>
      </c>
      <c r="D68" s="1574"/>
      <c r="E68" s="1574"/>
      <c r="F68" s="1574" t="s">
        <v>1951</v>
      </c>
      <c r="G68" s="1574"/>
      <c r="H68" s="1574"/>
      <c r="I68" s="1574"/>
      <c r="J68" s="1412">
        <v>0</v>
      </c>
      <c r="K68" s="1412">
        <v>0</v>
      </c>
      <c r="L68" s="1412">
        <v>84600.43</v>
      </c>
      <c r="M68" s="1575">
        <v>84600.43</v>
      </c>
      <c r="N68" s="1575"/>
      <c r="O68" s="1575">
        <v>0</v>
      </c>
      <c r="P68" s="1575"/>
      <c r="Q68" s="1575">
        <v>0</v>
      </c>
      <c r="R68" s="1575"/>
      <c r="S68" s="1575"/>
      <c r="T68" s="1575"/>
      <c r="U68" s="1575"/>
    </row>
    <row r="69" spans="1:21" ht="10.9" customHeight="1">
      <c r="A69" s="1574" t="s">
        <v>1322</v>
      </c>
      <c r="B69" s="1574"/>
      <c r="C69" s="1574" t="s">
        <v>1352</v>
      </c>
      <c r="D69" s="1574"/>
      <c r="E69" s="1574"/>
      <c r="F69" s="1574" t="s">
        <v>1952</v>
      </c>
      <c r="G69" s="1574"/>
      <c r="H69" s="1574"/>
      <c r="I69" s="1574"/>
      <c r="J69" s="1412">
        <v>0</v>
      </c>
      <c r="K69" s="1412">
        <v>0</v>
      </c>
      <c r="L69" s="1412">
        <v>8867.85</v>
      </c>
      <c r="M69" s="1575">
        <v>8867.85</v>
      </c>
      <c r="N69" s="1575"/>
      <c r="O69" s="1575">
        <v>0</v>
      </c>
      <c r="P69" s="1575"/>
      <c r="Q69" s="1575">
        <v>0</v>
      </c>
      <c r="R69" s="1575"/>
      <c r="S69" s="1575"/>
      <c r="T69" s="1575"/>
      <c r="U69" s="1575"/>
    </row>
    <row r="70" spans="1:21" ht="10.9" customHeight="1">
      <c r="A70" s="1574" t="s">
        <v>1322</v>
      </c>
      <c r="B70" s="1574"/>
      <c r="C70" s="1574" t="s">
        <v>1353</v>
      </c>
      <c r="D70" s="1574"/>
      <c r="E70" s="1574"/>
      <c r="F70" s="1574" t="s">
        <v>1953</v>
      </c>
      <c r="G70" s="1574"/>
      <c r="H70" s="1574"/>
      <c r="I70" s="1574"/>
      <c r="J70" s="1412">
        <v>3582.24</v>
      </c>
      <c r="K70" s="1412">
        <v>0</v>
      </c>
      <c r="L70" s="1412">
        <v>3558.86</v>
      </c>
      <c r="M70" s="1575">
        <v>3582.24</v>
      </c>
      <c r="N70" s="1575"/>
      <c r="O70" s="1575">
        <v>3558.86</v>
      </c>
      <c r="P70" s="1575"/>
      <c r="Q70" s="1575">
        <v>0</v>
      </c>
      <c r="R70" s="1575"/>
      <c r="S70" s="1575"/>
      <c r="T70" s="1575"/>
      <c r="U70" s="1575"/>
    </row>
    <row r="71" spans="1:21" ht="10.9" customHeight="1">
      <c r="A71" s="1574" t="s">
        <v>1322</v>
      </c>
      <c r="B71" s="1574"/>
      <c r="C71" s="1574" t="s">
        <v>1354</v>
      </c>
      <c r="D71" s="1574"/>
      <c r="E71" s="1574"/>
      <c r="F71" s="1574" t="s">
        <v>1954</v>
      </c>
      <c r="G71" s="1574"/>
      <c r="H71" s="1574"/>
      <c r="I71" s="1574"/>
      <c r="J71" s="1412">
        <v>22297.8</v>
      </c>
      <c r="K71" s="1412">
        <v>0</v>
      </c>
      <c r="L71" s="1412">
        <v>10660.22</v>
      </c>
      <c r="M71" s="1575">
        <v>11360.99</v>
      </c>
      <c r="N71" s="1575"/>
      <c r="O71" s="1575">
        <v>21597.03</v>
      </c>
      <c r="P71" s="1575"/>
      <c r="Q71" s="1575">
        <v>0</v>
      </c>
      <c r="R71" s="1575"/>
      <c r="S71" s="1575"/>
      <c r="T71" s="1575"/>
      <c r="U71" s="1575"/>
    </row>
    <row r="72" spans="1:21" ht="10.9" customHeight="1">
      <c r="A72" s="1574" t="s">
        <v>1322</v>
      </c>
      <c r="B72" s="1574"/>
      <c r="C72" s="1574" t="s">
        <v>1355</v>
      </c>
      <c r="D72" s="1574"/>
      <c r="E72" s="1574"/>
      <c r="F72" s="1574" t="s">
        <v>1956</v>
      </c>
      <c r="G72" s="1574"/>
      <c r="H72" s="1574"/>
      <c r="I72" s="1574"/>
      <c r="J72" s="1412">
        <v>842.52</v>
      </c>
      <c r="K72" s="1412">
        <v>0</v>
      </c>
      <c r="L72" s="1412">
        <v>830.72</v>
      </c>
      <c r="M72" s="1575">
        <v>830.72</v>
      </c>
      <c r="N72" s="1575"/>
      <c r="O72" s="1575">
        <v>842.52</v>
      </c>
      <c r="P72" s="1575"/>
      <c r="Q72" s="1575">
        <v>0</v>
      </c>
      <c r="R72" s="1575"/>
      <c r="S72" s="1575"/>
      <c r="T72" s="1575"/>
      <c r="U72" s="1575"/>
    </row>
    <row r="73" spans="1:21" ht="10.9" customHeight="1">
      <c r="A73" s="1574" t="s">
        <v>1322</v>
      </c>
      <c r="B73" s="1574"/>
      <c r="C73" s="1574" t="s">
        <v>1356</v>
      </c>
      <c r="D73" s="1574"/>
      <c r="E73" s="1574"/>
      <c r="F73" s="1574" t="s">
        <v>1957</v>
      </c>
      <c r="G73" s="1574"/>
      <c r="H73" s="1574"/>
      <c r="I73" s="1574"/>
      <c r="J73" s="1412">
        <v>98861.67</v>
      </c>
      <c r="K73" s="1412">
        <v>0</v>
      </c>
      <c r="L73" s="1412">
        <v>87668.92</v>
      </c>
      <c r="M73" s="1575">
        <v>98861.67</v>
      </c>
      <c r="N73" s="1575"/>
      <c r="O73" s="1575">
        <v>87668.92</v>
      </c>
      <c r="P73" s="1575"/>
      <c r="Q73" s="1575">
        <v>0</v>
      </c>
      <c r="R73" s="1575"/>
      <c r="S73" s="1575"/>
      <c r="T73" s="1575"/>
      <c r="U73" s="1575"/>
    </row>
    <row r="74" spans="1:21" ht="10.9" customHeight="1">
      <c r="A74" s="1574" t="s">
        <v>1322</v>
      </c>
      <c r="B74" s="1574"/>
      <c r="C74" s="1574" t="s">
        <v>1795</v>
      </c>
      <c r="D74" s="1574"/>
      <c r="E74" s="1574"/>
      <c r="F74" s="1574" t="s">
        <v>1958</v>
      </c>
      <c r="G74" s="1574"/>
      <c r="H74" s="1574"/>
      <c r="I74" s="1574"/>
      <c r="J74" s="1412">
        <v>7463.14</v>
      </c>
      <c r="K74" s="1412">
        <v>0</v>
      </c>
      <c r="L74" s="1412">
        <v>5656.38</v>
      </c>
      <c r="M74" s="1575">
        <v>13119.52</v>
      </c>
      <c r="N74" s="1575"/>
      <c r="O74" s="1575">
        <v>0</v>
      </c>
      <c r="P74" s="1575"/>
      <c r="Q74" s="1575">
        <v>0</v>
      </c>
      <c r="R74" s="1575"/>
      <c r="S74" s="1575"/>
      <c r="T74" s="1575"/>
      <c r="U74" s="1575"/>
    </row>
    <row r="75" spans="1:21" ht="10.9" customHeight="1">
      <c r="A75" s="1574" t="s">
        <v>1322</v>
      </c>
      <c r="B75" s="1574"/>
      <c r="C75" s="1574" t="s">
        <v>1357</v>
      </c>
      <c r="D75" s="1574"/>
      <c r="E75" s="1574"/>
      <c r="F75" s="1574" t="s">
        <v>1959</v>
      </c>
      <c r="G75" s="1574"/>
      <c r="H75" s="1574"/>
      <c r="I75" s="1574"/>
      <c r="J75" s="1412">
        <v>0</v>
      </c>
      <c r="K75" s="1412">
        <v>0</v>
      </c>
      <c r="L75" s="1412">
        <v>2128.27</v>
      </c>
      <c r="M75" s="1575">
        <v>2128.27</v>
      </c>
      <c r="N75" s="1575"/>
      <c r="O75" s="1575">
        <v>0</v>
      </c>
      <c r="P75" s="1575"/>
      <c r="Q75" s="1575">
        <v>0</v>
      </c>
      <c r="R75" s="1575"/>
      <c r="S75" s="1575"/>
      <c r="T75" s="1575"/>
      <c r="U75" s="1575"/>
    </row>
    <row r="76" spans="1:21" ht="10.9" customHeight="1">
      <c r="A76" s="1574" t="s">
        <v>1322</v>
      </c>
      <c r="B76" s="1574"/>
      <c r="C76" s="1574" t="s">
        <v>1358</v>
      </c>
      <c r="D76" s="1574"/>
      <c r="E76" s="1574"/>
      <c r="F76" s="1574" t="s">
        <v>1960</v>
      </c>
      <c r="G76" s="1574"/>
      <c r="H76" s="1574"/>
      <c r="I76" s="1574"/>
      <c r="J76" s="1412">
        <v>3369.48</v>
      </c>
      <c r="K76" s="1412">
        <v>0</v>
      </c>
      <c r="L76" s="1412">
        <v>0</v>
      </c>
      <c r="M76" s="1575">
        <v>0</v>
      </c>
      <c r="N76" s="1575"/>
      <c r="O76" s="1575">
        <v>3369.48</v>
      </c>
      <c r="P76" s="1575"/>
      <c r="Q76" s="1575">
        <v>0</v>
      </c>
      <c r="R76" s="1575"/>
      <c r="S76" s="1575"/>
      <c r="T76" s="1575"/>
      <c r="U76" s="1575"/>
    </row>
    <row r="77" spans="1:21" ht="10.9" customHeight="1">
      <c r="A77" s="1574" t="s">
        <v>1322</v>
      </c>
      <c r="B77" s="1574"/>
      <c r="C77" s="1574" t="s">
        <v>1359</v>
      </c>
      <c r="D77" s="1574"/>
      <c r="E77" s="1574"/>
      <c r="F77" s="1574" t="s">
        <v>1961</v>
      </c>
      <c r="G77" s="1574"/>
      <c r="H77" s="1574"/>
      <c r="I77" s="1574"/>
      <c r="J77" s="1412">
        <v>9682.7199999999993</v>
      </c>
      <c r="K77" s="1412">
        <v>0</v>
      </c>
      <c r="L77" s="1412">
        <v>7187.96</v>
      </c>
      <c r="M77" s="1575">
        <v>7187.96</v>
      </c>
      <c r="N77" s="1575"/>
      <c r="O77" s="1575">
        <v>9682.7199999999993</v>
      </c>
      <c r="P77" s="1575"/>
      <c r="Q77" s="1575">
        <v>0</v>
      </c>
      <c r="R77" s="1575"/>
      <c r="S77" s="1575"/>
      <c r="T77" s="1575"/>
      <c r="U77" s="1575"/>
    </row>
    <row r="78" spans="1:21" ht="10.9" customHeight="1">
      <c r="A78" s="1574" t="s">
        <v>1322</v>
      </c>
      <c r="B78" s="1574"/>
      <c r="C78" s="1574" t="s">
        <v>1360</v>
      </c>
      <c r="D78" s="1574"/>
      <c r="E78" s="1574"/>
      <c r="F78" s="1574" t="s">
        <v>1962</v>
      </c>
      <c r="G78" s="1574"/>
      <c r="H78" s="1574"/>
      <c r="I78" s="1574"/>
      <c r="J78" s="1412">
        <v>4865.28</v>
      </c>
      <c r="K78" s="1412">
        <v>0</v>
      </c>
      <c r="L78" s="1412">
        <v>1621.76</v>
      </c>
      <c r="M78" s="1575">
        <v>1621.76</v>
      </c>
      <c r="N78" s="1575"/>
      <c r="O78" s="1575">
        <v>4865.28</v>
      </c>
      <c r="P78" s="1575"/>
      <c r="Q78" s="1575">
        <v>0</v>
      </c>
      <c r="R78" s="1575"/>
      <c r="S78" s="1575"/>
      <c r="T78" s="1575"/>
      <c r="U78" s="1575"/>
    </row>
    <row r="79" spans="1:21" ht="10.9" customHeight="1">
      <c r="A79" s="1574" t="s">
        <v>1322</v>
      </c>
      <c r="B79" s="1574"/>
      <c r="C79" s="1574" t="s">
        <v>1361</v>
      </c>
      <c r="D79" s="1574"/>
      <c r="E79" s="1574"/>
      <c r="F79" s="1574" t="s">
        <v>1963</v>
      </c>
      <c r="G79" s="1574"/>
      <c r="H79" s="1574"/>
      <c r="I79" s="1574"/>
      <c r="J79" s="1412">
        <v>25268</v>
      </c>
      <c r="K79" s="1412">
        <v>0</v>
      </c>
      <c r="L79" s="1412">
        <v>0</v>
      </c>
      <c r="M79" s="1575">
        <v>25268</v>
      </c>
      <c r="N79" s="1575"/>
      <c r="O79" s="1575">
        <v>0</v>
      </c>
      <c r="P79" s="1575"/>
      <c r="Q79" s="1575">
        <v>0</v>
      </c>
      <c r="R79" s="1575"/>
      <c r="S79" s="1575"/>
      <c r="T79" s="1575"/>
      <c r="U79" s="1575"/>
    </row>
    <row r="80" spans="1:21" ht="10.9" customHeight="1">
      <c r="A80" s="1574" t="s">
        <v>1322</v>
      </c>
      <c r="B80" s="1574"/>
      <c r="C80" s="1574" t="s">
        <v>1362</v>
      </c>
      <c r="D80" s="1574"/>
      <c r="E80" s="1574"/>
      <c r="F80" s="1574" t="s">
        <v>1964</v>
      </c>
      <c r="G80" s="1574"/>
      <c r="H80" s="1574"/>
      <c r="I80" s="1574"/>
      <c r="J80" s="1412">
        <v>0</v>
      </c>
      <c r="K80" s="1412">
        <v>0</v>
      </c>
      <c r="L80" s="1412">
        <v>29063.39</v>
      </c>
      <c r="M80" s="1575">
        <v>0</v>
      </c>
      <c r="N80" s="1575"/>
      <c r="O80" s="1575">
        <v>29063.39</v>
      </c>
      <c r="P80" s="1575"/>
      <c r="Q80" s="1575">
        <v>0</v>
      </c>
      <c r="R80" s="1575"/>
      <c r="S80" s="1575"/>
      <c r="T80" s="1575"/>
      <c r="U80" s="1575"/>
    </row>
    <row r="81" spans="1:21" ht="10.9" customHeight="1">
      <c r="A81" s="1574" t="s">
        <v>1322</v>
      </c>
      <c r="B81" s="1574"/>
      <c r="C81" s="1574" t="s">
        <v>5767</v>
      </c>
      <c r="D81" s="1574"/>
      <c r="E81" s="1574"/>
      <c r="F81" s="1574" t="s">
        <v>5768</v>
      </c>
      <c r="G81" s="1574"/>
      <c r="H81" s="1574"/>
      <c r="I81" s="1574"/>
      <c r="J81" s="1412">
        <v>0</v>
      </c>
      <c r="K81" s="1412">
        <v>0</v>
      </c>
      <c r="L81" s="1412">
        <v>42697.66</v>
      </c>
      <c r="M81" s="1575">
        <v>42697.66</v>
      </c>
      <c r="N81" s="1575"/>
      <c r="O81" s="1575">
        <v>0</v>
      </c>
      <c r="P81" s="1575"/>
      <c r="Q81" s="1575">
        <v>0</v>
      </c>
      <c r="R81" s="1575"/>
      <c r="S81" s="1575"/>
      <c r="T81" s="1575"/>
      <c r="U81" s="1575"/>
    </row>
    <row r="82" spans="1:21" ht="10.9" customHeight="1">
      <c r="A82" s="1574" t="s">
        <v>1322</v>
      </c>
      <c r="B82" s="1574"/>
      <c r="C82" s="1574" t="s">
        <v>1363</v>
      </c>
      <c r="D82" s="1574"/>
      <c r="E82" s="1574"/>
      <c r="F82" s="1574" t="s">
        <v>1965</v>
      </c>
      <c r="G82" s="1574"/>
      <c r="H82" s="1574"/>
      <c r="I82" s="1574"/>
      <c r="J82" s="1412">
        <v>3246.28</v>
      </c>
      <c r="K82" s="1412">
        <v>0</v>
      </c>
      <c r="L82" s="1412">
        <v>4527.3599999999997</v>
      </c>
      <c r="M82" s="1575">
        <v>7773.64</v>
      </c>
      <c r="N82" s="1575"/>
      <c r="O82" s="1575">
        <v>0</v>
      </c>
      <c r="P82" s="1575"/>
      <c r="Q82" s="1575">
        <v>0</v>
      </c>
      <c r="R82" s="1575"/>
      <c r="S82" s="1575"/>
      <c r="T82" s="1575"/>
      <c r="U82" s="1575"/>
    </row>
    <row r="83" spans="1:21" ht="10.9" customHeight="1">
      <c r="A83" s="1574" t="s">
        <v>1322</v>
      </c>
      <c r="B83" s="1574"/>
      <c r="C83" s="1574" t="s">
        <v>1364</v>
      </c>
      <c r="D83" s="1574"/>
      <c r="E83" s="1574"/>
      <c r="F83" s="1574" t="s">
        <v>1966</v>
      </c>
      <c r="G83" s="1574"/>
      <c r="H83" s="1574"/>
      <c r="I83" s="1574"/>
      <c r="J83" s="1412">
        <v>66310.399999999994</v>
      </c>
      <c r="K83" s="1412">
        <v>0</v>
      </c>
      <c r="L83" s="1412">
        <v>0</v>
      </c>
      <c r="M83" s="1575">
        <v>66310.399999999994</v>
      </c>
      <c r="N83" s="1575"/>
      <c r="O83" s="1575">
        <v>0</v>
      </c>
      <c r="P83" s="1575"/>
      <c r="Q83" s="1575">
        <v>0</v>
      </c>
      <c r="R83" s="1575"/>
      <c r="S83" s="1575"/>
      <c r="T83" s="1575"/>
      <c r="U83" s="1575"/>
    </row>
    <row r="84" spans="1:21" ht="10.9" customHeight="1">
      <c r="A84" s="1574" t="s">
        <v>1322</v>
      </c>
      <c r="B84" s="1574"/>
      <c r="C84" s="1574" t="s">
        <v>1365</v>
      </c>
      <c r="D84" s="1574"/>
      <c r="E84" s="1574"/>
      <c r="F84" s="1574" t="s">
        <v>1967</v>
      </c>
      <c r="G84" s="1574"/>
      <c r="H84" s="1574"/>
      <c r="I84" s="1574"/>
      <c r="J84" s="1412">
        <v>46612.58</v>
      </c>
      <c r="K84" s="1412">
        <v>0</v>
      </c>
      <c r="L84" s="1412">
        <v>54488.49</v>
      </c>
      <c r="M84" s="1575">
        <v>46612.58</v>
      </c>
      <c r="N84" s="1575"/>
      <c r="O84" s="1575">
        <v>54488.49</v>
      </c>
      <c r="P84" s="1575"/>
      <c r="Q84" s="1575">
        <v>0</v>
      </c>
      <c r="R84" s="1575"/>
      <c r="S84" s="1575"/>
      <c r="T84" s="1575"/>
      <c r="U84" s="1575"/>
    </row>
    <row r="85" spans="1:21" ht="10.9" customHeight="1">
      <c r="A85" s="1574" t="s">
        <v>1322</v>
      </c>
      <c r="B85" s="1574"/>
      <c r="C85" s="1574" t="s">
        <v>1766</v>
      </c>
      <c r="D85" s="1574"/>
      <c r="E85" s="1574"/>
      <c r="F85" s="1574" t="s">
        <v>1968</v>
      </c>
      <c r="G85" s="1574"/>
      <c r="H85" s="1574"/>
      <c r="I85" s="1574"/>
      <c r="J85" s="1412">
        <v>2510.11</v>
      </c>
      <c r="K85" s="1412">
        <v>0</v>
      </c>
      <c r="L85" s="1412">
        <v>4329.8500000000004</v>
      </c>
      <c r="M85" s="1575">
        <v>2510.11</v>
      </c>
      <c r="N85" s="1575"/>
      <c r="O85" s="1575">
        <v>4329.8500000000004</v>
      </c>
      <c r="P85" s="1575"/>
      <c r="Q85" s="1575">
        <v>0</v>
      </c>
      <c r="R85" s="1575"/>
      <c r="S85" s="1575"/>
      <c r="T85" s="1575"/>
      <c r="U85" s="1575"/>
    </row>
    <row r="86" spans="1:21" ht="10.9" customHeight="1">
      <c r="A86" s="1574" t="s">
        <v>1322</v>
      </c>
      <c r="B86" s="1574"/>
      <c r="C86" s="1574" t="s">
        <v>1366</v>
      </c>
      <c r="D86" s="1574"/>
      <c r="E86" s="1574"/>
      <c r="F86" s="1574" t="s">
        <v>1969</v>
      </c>
      <c r="G86" s="1574"/>
      <c r="H86" s="1574"/>
      <c r="I86" s="1574"/>
      <c r="J86" s="1412">
        <v>50166.43</v>
      </c>
      <c r="K86" s="1412">
        <v>0</v>
      </c>
      <c r="L86" s="1412">
        <v>0</v>
      </c>
      <c r="M86" s="1575">
        <v>50166.43</v>
      </c>
      <c r="N86" s="1575"/>
      <c r="O86" s="1575">
        <v>0</v>
      </c>
      <c r="P86" s="1575"/>
      <c r="Q86" s="1575">
        <v>0</v>
      </c>
      <c r="R86" s="1575"/>
      <c r="S86" s="1575"/>
      <c r="T86" s="1575"/>
      <c r="U86" s="1575"/>
    </row>
    <row r="87" spans="1:21" ht="10.9" customHeight="1">
      <c r="A87" s="1574" t="s">
        <v>1322</v>
      </c>
      <c r="B87" s="1574"/>
      <c r="C87" s="1574" t="s">
        <v>1367</v>
      </c>
      <c r="D87" s="1574"/>
      <c r="E87" s="1574"/>
      <c r="F87" s="1574" t="s">
        <v>1970</v>
      </c>
      <c r="G87" s="1574"/>
      <c r="H87" s="1574"/>
      <c r="I87" s="1574"/>
      <c r="J87" s="1412">
        <v>17409.48</v>
      </c>
      <c r="K87" s="1412">
        <v>0</v>
      </c>
      <c r="L87" s="1412">
        <v>14310.57</v>
      </c>
      <c r="M87" s="1575">
        <v>14310.57</v>
      </c>
      <c r="N87" s="1575"/>
      <c r="O87" s="1575">
        <v>17409.48</v>
      </c>
      <c r="P87" s="1575"/>
      <c r="Q87" s="1575">
        <v>0</v>
      </c>
      <c r="R87" s="1575"/>
      <c r="S87" s="1575"/>
      <c r="T87" s="1575"/>
      <c r="U87" s="1575"/>
    </row>
    <row r="88" spans="1:21" ht="10.9" customHeight="1">
      <c r="A88" s="1574" t="s">
        <v>1322</v>
      </c>
      <c r="B88" s="1574"/>
      <c r="C88" s="1574" t="s">
        <v>1368</v>
      </c>
      <c r="D88" s="1574"/>
      <c r="E88" s="1574"/>
      <c r="F88" s="1574" t="s">
        <v>1971</v>
      </c>
      <c r="G88" s="1574"/>
      <c r="H88" s="1574"/>
      <c r="I88" s="1574"/>
      <c r="J88" s="1412">
        <v>0</v>
      </c>
      <c r="K88" s="1412">
        <v>0</v>
      </c>
      <c r="L88" s="1412">
        <v>1655.83</v>
      </c>
      <c r="M88" s="1575">
        <v>1655.83</v>
      </c>
      <c r="N88" s="1575"/>
      <c r="O88" s="1575">
        <v>0</v>
      </c>
      <c r="P88" s="1575"/>
      <c r="Q88" s="1575">
        <v>0</v>
      </c>
      <c r="R88" s="1575"/>
      <c r="S88" s="1575"/>
      <c r="T88" s="1575"/>
      <c r="U88" s="1575"/>
    </row>
    <row r="89" spans="1:21" ht="10.9" customHeight="1">
      <c r="A89" s="1574" t="s">
        <v>1322</v>
      </c>
      <c r="B89" s="1574"/>
      <c r="C89" s="1574" t="s">
        <v>1369</v>
      </c>
      <c r="D89" s="1574"/>
      <c r="E89" s="1574"/>
      <c r="F89" s="1574" t="s">
        <v>1972</v>
      </c>
      <c r="G89" s="1574"/>
      <c r="H89" s="1574"/>
      <c r="I89" s="1574"/>
      <c r="J89" s="1412">
        <v>0</v>
      </c>
      <c r="K89" s="1412">
        <v>0</v>
      </c>
      <c r="L89" s="1412">
        <v>2294.4299999999998</v>
      </c>
      <c r="M89" s="1575">
        <v>2294.4299999999998</v>
      </c>
      <c r="N89" s="1575"/>
      <c r="O89" s="1575">
        <v>0</v>
      </c>
      <c r="P89" s="1575"/>
      <c r="Q89" s="1575">
        <v>0</v>
      </c>
      <c r="R89" s="1575"/>
      <c r="S89" s="1575"/>
      <c r="T89" s="1575"/>
      <c r="U89" s="1575"/>
    </row>
    <row r="90" spans="1:21" ht="10.9" customHeight="1">
      <c r="A90" s="1574" t="s">
        <v>1322</v>
      </c>
      <c r="B90" s="1574"/>
      <c r="C90" s="1574" t="s">
        <v>1370</v>
      </c>
      <c r="D90" s="1574"/>
      <c r="E90" s="1574"/>
      <c r="F90" s="1574" t="s">
        <v>1973</v>
      </c>
      <c r="G90" s="1574"/>
      <c r="H90" s="1574"/>
      <c r="I90" s="1574"/>
      <c r="J90" s="1412">
        <v>0</v>
      </c>
      <c r="K90" s="1412">
        <v>0</v>
      </c>
      <c r="L90" s="1412">
        <v>274.87</v>
      </c>
      <c r="M90" s="1575">
        <v>274.87</v>
      </c>
      <c r="N90" s="1575"/>
      <c r="O90" s="1575">
        <v>0</v>
      </c>
      <c r="P90" s="1575"/>
      <c r="Q90" s="1575">
        <v>0</v>
      </c>
      <c r="R90" s="1575"/>
      <c r="S90" s="1575"/>
      <c r="T90" s="1575"/>
      <c r="U90" s="1575"/>
    </row>
    <row r="91" spans="1:21" ht="10.9" customHeight="1">
      <c r="A91" s="1574" t="s">
        <v>1322</v>
      </c>
      <c r="B91" s="1574"/>
      <c r="C91" s="1574" t="s">
        <v>1371</v>
      </c>
      <c r="D91" s="1574"/>
      <c r="E91" s="1574"/>
      <c r="F91" s="1574" t="s">
        <v>1974</v>
      </c>
      <c r="G91" s="1574"/>
      <c r="H91" s="1574"/>
      <c r="I91" s="1574"/>
      <c r="J91" s="1412">
        <v>330946.83</v>
      </c>
      <c r="K91" s="1412">
        <v>0</v>
      </c>
      <c r="L91" s="1412">
        <v>179026.34</v>
      </c>
      <c r="M91" s="1575">
        <v>170478.97</v>
      </c>
      <c r="N91" s="1575"/>
      <c r="O91" s="1575">
        <v>339494.2</v>
      </c>
      <c r="P91" s="1575"/>
      <c r="Q91" s="1575">
        <v>0</v>
      </c>
      <c r="R91" s="1575"/>
      <c r="S91" s="1575"/>
      <c r="T91" s="1575"/>
      <c r="U91" s="1575"/>
    </row>
    <row r="92" spans="1:21" ht="10.9" customHeight="1">
      <c r="A92" s="1574" t="s">
        <v>1322</v>
      </c>
      <c r="B92" s="1574"/>
      <c r="C92" s="1574" t="s">
        <v>1372</v>
      </c>
      <c r="D92" s="1574"/>
      <c r="E92" s="1574"/>
      <c r="F92" s="1574" t="s">
        <v>1975</v>
      </c>
      <c r="G92" s="1574"/>
      <c r="H92" s="1574"/>
      <c r="I92" s="1574"/>
      <c r="J92" s="1412">
        <v>290064.71999999997</v>
      </c>
      <c r="K92" s="1412">
        <v>0</v>
      </c>
      <c r="L92" s="1412">
        <v>10599.04</v>
      </c>
      <c r="M92" s="1575">
        <v>11746.14</v>
      </c>
      <c r="N92" s="1575"/>
      <c r="O92" s="1575">
        <v>288917.62</v>
      </c>
      <c r="P92" s="1575"/>
      <c r="Q92" s="1575">
        <v>0</v>
      </c>
      <c r="R92" s="1575"/>
      <c r="S92" s="1575"/>
      <c r="T92" s="1575"/>
      <c r="U92" s="1575"/>
    </row>
    <row r="93" spans="1:21" ht="10.9" customHeight="1">
      <c r="A93" s="1574" t="s">
        <v>1322</v>
      </c>
      <c r="B93" s="1574"/>
      <c r="C93" s="1574" t="s">
        <v>1373</v>
      </c>
      <c r="D93" s="1574"/>
      <c r="E93" s="1574"/>
      <c r="F93" s="1574" t="s">
        <v>1976</v>
      </c>
      <c r="G93" s="1574"/>
      <c r="H93" s="1574"/>
      <c r="I93" s="1574"/>
      <c r="J93" s="1412">
        <v>27933.06</v>
      </c>
      <c r="K93" s="1412">
        <v>0</v>
      </c>
      <c r="L93" s="1412">
        <v>6086.84</v>
      </c>
      <c r="M93" s="1575">
        <v>11694.46</v>
      </c>
      <c r="N93" s="1575"/>
      <c r="O93" s="1575">
        <v>22325.439999999999</v>
      </c>
      <c r="P93" s="1575"/>
      <c r="Q93" s="1575">
        <v>0</v>
      </c>
      <c r="R93" s="1575"/>
      <c r="S93" s="1575"/>
      <c r="T93" s="1575"/>
      <c r="U93" s="1575"/>
    </row>
    <row r="94" spans="1:21" ht="10.9" customHeight="1">
      <c r="A94" s="1574" t="s">
        <v>1322</v>
      </c>
      <c r="B94" s="1574"/>
      <c r="C94" s="1574" t="s">
        <v>1374</v>
      </c>
      <c r="D94" s="1574"/>
      <c r="E94" s="1574"/>
      <c r="F94" s="1574" t="s">
        <v>1977</v>
      </c>
      <c r="G94" s="1574"/>
      <c r="H94" s="1574"/>
      <c r="I94" s="1574"/>
      <c r="J94" s="1412">
        <v>4501.7700000000004</v>
      </c>
      <c r="K94" s="1412">
        <v>0</v>
      </c>
      <c r="L94" s="1412">
        <v>8396.33</v>
      </c>
      <c r="M94" s="1575">
        <v>0</v>
      </c>
      <c r="N94" s="1575"/>
      <c r="O94" s="1575">
        <v>12898.1</v>
      </c>
      <c r="P94" s="1575"/>
      <c r="Q94" s="1575">
        <v>0</v>
      </c>
      <c r="R94" s="1575"/>
      <c r="S94" s="1575"/>
      <c r="T94" s="1575"/>
      <c r="U94" s="1575"/>
    </row>
    <row r="95" spans="1:21" ht="10.9" customHeight="1">
      <c r="A95" s="1574" t="s">
        <v>1322</v>
      </c>
      <c r="B95" s="1574"/>
      <c r="C95" s="1574" t="s">
        <v>1375</v>
      </c>
      <c r="D95" s="1574"/>
      <c r="E95" s="1574"/>
      <c r="F95" s="1574" t="s">
        <v>1978</v>
      </c>
      <c r="G95" s="1574"/>
      <c r="H95" s="1574"/>
      <c r="I95" s="1574"/>
      <c r="J95" s="1412">
        <v>0</v>
      </c>
      <c r="K95" s="1412">
        <v>0</v>
      </c>
      <c r="L95" s="1412">
        <v>10576.65</v>
      </c>
      <c r="M95" s="1575">
        <v>10576.65</v>
      </c>
      <c r="N95" s="1575"/>
      <c r="O95" s="1575">
        <v>0</v>
      </c>
      <c r="P95" s="1575"/>
      <c r="Q95" s="1575">
        <v>0</v>
      </c>
      <c r="R95" s="1575"/>
      <c r="S95" s="1575"/>
      <c r="T95" s="1575"/>
      <c r="U95" s="1575"/>
    </row>
    <row r="96" spans="1:21" ht="10.9" customHeight="1">
      <c r="A96" s="1574" t="s">
        <v>1322</v>
      </c>
      <c r="B96" s="1574"/>
      <c r="C96" s="1574" t="s">
        <v>1376</v>
      </c>
      <c r="D96" s="1574"/>
      <c r="E96" s="1574"/>
      <c r="F96" s="1574" t="s">
        <v>1979</v>
      </c>
      <c r="G96" s="1574"/>
      <c r="H96" s="1574"/>
      <c r="I96" s="1574"/>
      <c r="J96" s="1412">
        <v>0</v>
      </c>
      <c r="K96" s="1412">
        <v>0</v>
      </c>
      <c r="L96" s="1412">
        <v>4964.0600000000004</v>
      </c>
      <c r="M96" s="1575">
        <v>4964.0600000000004</v>
      </c>
      <c r="N96" s="1575"/>
      <c r="O96" s="1575">
        <v>0</v>
      </c>
      <c r="P96" s="1575"/>
      <c r="Q96" s="1575">
        <v>0</v>
      </c>
      <c r="R96" s="1575"/>
      <c r="S96" s="1575"/>
      <c r="T96" s="1575"/>
      <c r="U96" s="1575"/>
    </row>
    <row r="97" spans="1:23" ht="10.9" customHeight="1">
      <c r="A97" s="1574" t="s">
        <v>1322</v>
      </c>
      <c r="B97" s="1574"/>
      <c r="C97" s="1574" t="s">
        <v>1377</v>
      </c>
      <c r="D97" s="1574"/>
      <c r="E97" s="1574"/>
      <c r="F97" s="1574" t="s">
        <v>1980</v>
      </c>
      <c r="G97" s="1574"/>
      <c r="H97" s="1574"/>
      <c r="I97" s="1574"/>
      <c r="J97" s="1412">
        <v>0</v>
      </c>
      <c r="K97" s="1412">
        <v>0</v>
      </c>
      <c r="L97" s="1412">
        <v>3299.24</v>
      </c>
      <c r="M97" s="1575">
        <v>3299.24</v>
      </c>
      <c r="N97" s="1575"/>
      <c r="O97" s="1575">
        <v>0</v>
      </c>
      <c r="P97" s="1575"/>
      <c r="Q97" s="1575">
        <v>0</v>
      </c>
      <c r="R97" s="1575"/>
      <c r="S97" s="1575"/>
      <c r="T97" s="1575"/>
      <c r="U97" s="1575"/>
    </row>
    <row r="98" spans="1:23" ht="10.9" customHeight="1">
      <c r="A98" s="1574" t="s">
        <v>1322</v>
      </c>
      <c r="B98" s="1574"/>
      <c r="C98" s="1574" t="s">
        <v>1378</v>
      </c>
      <c r="D98" s="1574"/>
      <c r="E98" s="1574"/>
      <c r="F98" s="1574" t="s">
        <v>1981</v>
      </c>
      <c r="G98" s="1574"/>
      <c r="H98" s="1574"/>
      <c r="I98" s="1574"/>
      <c r="J98" s="1412">
        <v>4029.14</v>
      </c>
      <c r="K98" s="1412">
        <v>0</v>
      </c>
      <c r="L98" s="1412">
        <v>371.07</v>
      </c>
      <c r="M98" s="1575">
        <v>1360.13</v>
      </c>
      <c r="N98" s="1575"/>
      <c r="O98" s="1575">
        <v>3040.08</v>
      </c>
      <c r="P98" s="1575"/>
      <c r="Q98" s="1575">
        <v>0</v>
      </c>
      <c r="R98" s="1575"/>
      <c r="S98" s="1575"/>
      <c r="T98" s="1575"/>
      <c r="U98" s="1575"/>
    </row>
    <row r="99" spans="1:23" ht="10.9" customHeight="1">
      <c r="A99" s="1574" t="s">
        <v>1322</v>
      </c>
      <c r="B99" s="1574"/>
      <c r="C99" s="1574" t="s">
        <v>1379</v>
      </c>
      <c r="D99" s="1574"/>
      <c r="E99" s="1574"/>
      <c r="F99" s="1574" t="s">
        <v>1982</v>
      </c>
      <c r="G99" s="1574"/>
      <c r="H99" s="1574"/>
      <c r="I99" s="1574"/>
      <c r="J99" s="1412">
        <v>63510.94</v>
      </c>
      <c r="K99" s="1412">
        <v>0</v>
      </c>
      <c r="L99" s="1412">
        <v>0</v>
      </c>
      <c r="M99" s="1575">
        <v>63510.94</v>
      </c>
      <c r="N99" s="1575"/>
      <c r="O99" s="1575">
        <v>0</v>
      </c>
      <c r="P99" s="1575"/>
      <c r="Q99" s="1575">
        <v>0</v>
      </c>
      <c r="R99" s="1575"/>
      <c r="S99" s="1575"/>
      <c r="T99" s="1575"/>
      <c r="U99" s="1575"/>
    </row>
    <row r="100" spans="1:23" ht="10.9" customHeight="1">
      <c r="A100" s="1574" t="s">
        <v>1322</v>
      </c>
      <c r="B100" s="1574"/>
      <c r="C100" s="1574" t="s">
        <v>1380</v>
      </c>
      <c r="D100" s="1574"/>
      <c r="E100" s="1574"/>
      <c r="F100" s="1574" t="s">
        <v>1983</v>
      </c>
      <c r="G100" s="1574"/>
      <c r="H100" s="1574"/>
      <c r="I100" s="1574"/>
      <c r="J100" s="1412">
        <v>21842.66</v>
      </c>
      <c r="K100" s="1412">
        <v>0</v>
      </c>
      <c r="L100" s="1412">
        <v>1058.47</v>
      </c>
      <c r="M100" s="1575">
        <v>20330.38</v>
      </c>
      <c r="N100" s="1575"/>
      <c r="O100" s="1575">
        <v>2570.75</v>
      </c>
      <c r="P100" s="1575"/>
      <c r="Q100" s="1575">
        <v>0</v>
      </c>
      <c r="R100" s="1575"/>
      <c r="S100" s="1575"/>
      <c r="T100" s="1575"/>
      <c r="U100" s="1575"/>
    </row>
    <row r="101" spans="1:23" ht="10.9" customHeight="1">
      <c r="A101" s="1574" t="s">
        <v>1322</v>
      </c>
      <c r="B101" s="1574"/>
      <c r="C101" s="1574" t="s">
        <v>1381</v>
      </c>
      <c r="D101" s="1574"/>
      <c r="E101" s="1574"/>
      <c r="F101" s="1574" t="s">
        <v>1984</v>
      </c>
      <c r="G101" s="1574"/>
      <c r="H101" s="1574"/>
      <c r="I101" s="1574"/>
      <c r="J101" s="1412">
        <v>2391.39</v>
      </c>
      <c r="K101" s="1412">
        <v>0</v>
      </c>
      <c r="L101" s="1412">
        <v>797.13</v>
      </c>
      <c r="M101" s="1575">
        <v>797.13</v>
      </c>
      <c r="N101" s="1575"/>
      <c r="O101" s="1575">
        <v>2391.39</v>
      </c>
      <c r="P101" s="1575"/>
      <c r="Q101" s="1575">
        <v>0</v>
      </c>
      <c r="R101" s="1575"/>
      <c r="S101" s="1575"/>
      <c r="T101" s="1575"/>
      <c r="U101" s="1575"/>
    </row>
    <row r="102" spans="1:23" ht="10.9" customHeight="1">
      <c r="A102" s="1574" t="s">
        <v>1322</v>
      </c>
      <c r="B102" s="1574"/>
      <c r="C102" s="1574" t="s">
        <v>1382</v>
      </c>
      <c r="D102" s="1574"/>
      <c r="E102" s="1574"/>
      <c r="F102" s="1574" t="s">
        <v>1985</v>
      </c>
      <c r="G102" s="1574"/>
      <c r="H102" s="1574"/>
      <c r="I102" s="1574"/>
      <c r="J102" s="1412">
        <v>112675.29</v>
      </c>
      <c r="K102" s="1412">
        <v>0</v>
      </c>
      <c r="L102" s="1412">
        <v>21804.5</v>
      </c>
      <c r="M102" s="1575">
        <v>50669.88</v>
      </c>
      <c r="N102" s="1575"/>
      <c r="O102" s="1575">
        <v>83809.91</v>
      </c>
      <c r="P102" s="1575"/>
      <c r="Q102" s="1575">
        <v>0</v>
      </c>
      <c r="R102" s="1575"/>
      <c r="S102" s="1575"/>
      <c r="T102" s="1575"/>
      <c r="U102" s="1575"/>
    </row>
    <row r="103" spans="1:23" ht="14.65" customHeight="1">
      <c r="S103" s="1573" t="s">
        <v>1993</v>
      </c>
      <c r="T103" s="1573"/>
      <c r="U103" s="1573"/>
      <c r="V103" s="1573"/>
      <c r="W103" s="1573"/>
    </row>
    <row r="104" spans="1:23" ht="7.15" customHeight="1">
      <c r="C104" s="1586" t="s">
        <v>2987</v>
      </c>
      <c r="D104" s="1586"/>
      <c r="E104" s="1586"/>
      <c r="F104" s="1586"/>
      <c r="G104" s="1586"/>
      <c r="H104" s="1586"/>
      <c r="I104" s="1586"/>
      <c r="J104" s="1586"/>
      <c r="K104" s="1586"/>
      <c r="L104" s="1586"/>
      <c r="M104" s="1586"/>
      <c r="N104" s="1586"/>
      <c r="O104" s="1586"/>
      <c r="P104" s="1586"/>
      <c r="Q104" s="1586"/>
      <c r="R104" s="1586"/>
      <c r="S104" s="1586"/>
      <c r="T104" s="1586"/>
    </row>
    <row r="105" spans="1:23" ht="9.6" customHeight="1">
      <c r="A105" s="1587"/>
      <c r="B105" s="1587"/>
      <c r="C105" s="1587"/>
      <c r="D105" s="1587"/>
      <c r="E105" s="1587"/>
      <c r="F105" s="1587"/>
      <c r="G105" s="1586"/>
      <c r="H105" s="1586"/>
      <c r="I105" s="1586"/>
      <c r="J105" s="1586"/>
      <c r="K105" s="1586"/>
      <c r="L105" s="1586"/>
      <c r="M105" s="1586"/>
      <c r="N105" s="1586"/>
      <c r="O105" s="1586"/>
      <c r="P105" s="1586"/>
      <c r="Q105" s="1586"/>
      <c r="R105" s="1586"/>
      <c r="S105" s="1586"/>
      <c r="T105" s="1586"/>
    </row>
    <row r="106" spans="1:23" ht="13.35" customHeight="1">
      <c r="A106" s="1587"/>
      <c r="B106" s="1587"/>
      <c r="C106" s="1587"/>
      <c r="D106" s="1587"/>
      <c r="E106" s="1587"/>
      <c r="F106" s="1587"/>
      <c r="G106" s="1588" t="s">
        <v>79</v>
      </c>
      <c r="H106" s="1588"/>
      <c r="I106" s="1588"/>
      <c r="J106" s="1588"/>
      <c r="K106" s="1588"/>
      <c r="L106" s="1588"/>
      <c r="M106" s="1588"/>
      <c r="N106" s="1588"/>
      <c r="O106" s="1588"/>
      <c r="P106" s="1588"/>
      <c r="Q106" s="1588"/>
      <c r="R106" s="1588"/>
    </row>
    <row r="107" spans="1:23" ht="5.25" customHeight="1">
      <c r="A107" s="1587"/>
      <c r="B107" s="1587"/>
      <c r="C107" s="1587"/>
      <c r="D107" s="1587"/>
      <c r="E107" s="1587"/>
      <c r="F107" s="1587"/>
      <c r="G107" s="1581" t="s">
        <v>7015</v>
      </c>
      <c r="H107" s="1581"/>
      <c r="I107" s="1581"/>
      <c r="J107" s="1581"/>
      <c r="K107" s="1581"/>
      <c r="L107" s="1581"/>
      <c r="M107" s="1581"/>
      <c r="N107" s="1581"/>
      <c r="O107" s="1581"/>
      <c r="P107" s="1581"/>
      <c r="Q107" s="1581"/>
    </row>
    <row r="108" spans="1:23" ht="8.1" customHeight="1">
      <c r="B108" s="1580" t="s">
        <v>1916</v>
      </c>
      <c r="C108" s="1580"/>
      <c r="D108" s="1580"/>
      <c r="E108" s="1580"/>
      <c r="F108" s="1580"/>
      <c r="G108" s="1580"/>
      <c r="H108" s="1581"/>
      <c r="I108" s="1581"/>
      <c r="J108" s="1581"/>
      <c r="K108" s="1581"/>
      <c r="L108" s="1581"/>
      <c r="M108" s="1581"/>
      <c r="N108" s="1582" t="s">
        <v>5619</v>
      </c>
      <c r="O108" s="1582"/>
      <c r="P108" s="1582"/>
      <c r="Q108" s="1582"/>
      <c r="R108" s="1582"/>
      <c r="S108" s="1582"/>
      <c r="T108" s="1583" t="s">
        <v>7016</v>
      </c>
      <c r="U108" s="1583"/>
      <c r="V108" s="1583"/>
      <c r="W108" s="1583"/>
    </row>
    <row r="109" spans="1:23" ht="6" customHeight="1">
      <c r="B109" s="1580"/>
      <c r="C109" s="1580"/>
      <c r="D109" s="1580"/>
      <c r="E109" s="1580"/>
      <c r="F109" s="1580"/>
      <c r="G109" s="1580"/>
      <c r="H109" s="1584" t="s">
        <v>7017</v>
      </c>
      <c r="I109" s="1584"/>
      <c r="J109" s="1584"/>
      <c r="K109" s="1584"/>
      <c r="L109" s="1584"/>
      <c r="M109" s="1584"/>
      <c r="N109" s="1582"/>
      <c r="O109" s="1582"/>
      <c r="P109" s="1582"/>
      <c r="Q109" s="1582"/>
      <c r="R109" s="1582"/>
      <c r="S109" s="1582"/>
      <c r="T109" s="1583"/>
      <c r="U109" s="1583"/>
      <c r="V109" s="1583"/>
      <c r="W109" s="1583"/>
    </row>
    <row r="110" spans="1:23" ht="7.35" customHeight="1">
      <c r="B110" s="1580" t="s">
        <v>1994</v>
      </c>
      <c r="C110" s="1580"/>
      <c r="D110" s="1580"/>
      <c r="E110" s="1585"/>
      <c r="F110" s="1585"/>
      <c r="G110" s="1585"/>
      <c r="H110" s="1585"/>
      <c r="I110" s="1585"/>
      <c r="J110" s="1585"/>
      <c r="K110" s="1585"/>
      <c r="L110" s="1585"/>
      <c r="M110" s="1585"/>
      <c r="N110" s="1585"/>
      <c r="O110" s="1585"/>
      <c r="P110" s="1585"/>
      <c r="Q110" s="1585"/>
      <c r="R110" s="1582"/>
      <c r="S110" s="1582"/>
      <c r="T110" s="1582" t="s">
        <v>7018</v>
      </c>
      <c r="U110" s="1582"/>
    </row>
    <row r="111" spans="1:23" ht="6.75" customHeight="1">
      <c r="E111" s="1585"/>
      <c r="F111" s="1585"/>
      <c r="G111" s="1585"/>
      <c r="H111" s="1585"/>
      <c r="I111" s="1585"/>
      <c r="J111" s="1585"/>
      <c r="K111" s="1585"/>
      <c r="L111" s="1585"/>
      <c r="M111" s="1585"/>
      <c r="N111" s="1585"/>
      <c r="O111" s="1585"/>
      <c r="P111" s="1585"/>
      <c r="Q111" s="1585"/>
      <c r="R111" s="1582"/>
      <c r="S111" s="1582"/>
      <c r="T111" s="1582"/>
      <c r="U111" s="1582"/>
    </row>
    <row r="112" spans="1:23" ht="10.9" customHeight="1">
      <c r="A112" s="1576"/>
      <c r="B112" s="1576"/>
      <c r="C112" s="1576"/>
      <c r="D112" s="1576"/>
      <c r="E112" s="1576"/>
      <c r="F112" s="1576"/>
      <c r="G112" s="1576"/>
      <c r="H112" s="1576"/>
      <c r="I112" s="1576"/>
      <c r="J112" s="1577" t="s">
        <v>1314</v>
      </c>
      <c r="K112" s="1577"/>
      <c r="L112" s="1577" t="s">
        <v>1315</v>
      </c>
      <c r="M112" s="1577"/>
      <c r="N112" s="1577"/>
      <c r="O112" s="1577" t="s">
        <v>1316</v>
      </c>
      <c r="P112" s="1577"/>
      <c r="Q112" s="1577"/>
      <c r="R112" s="1577"/>
      <c r="S112" s="1577"/>
      <c r="T112" s="1577"/>
      <c r="U112" s="1577"/>
    </row>
    <row r="113" spans="1:21" ht="14.1" customHeight="1">
      <c r="A113" s="1578" t="s">
        <v>1317</v>
      </c>
      <c r="B113" s="1578"/>
      <c r="C113" s="1578" t="s">
        <v>1318</v>
      </c>
      <c r="D113" s="1578"/>
      <c r="E113" s="1578"/>
      <c r="F113" s="1578" t="s">
        <v>1319</v>
      </c>
      <c r="G113" s="1578"/>
      <c r="H113" s="1578"/>
      <c r="I113" s="1578"/>
      <c r="J113" s="1413" t="s">
        <v>1320</v>
      </c>
      <c r="K113" s="1413" t="s">
        <v>1321</v>
      </c>
      <c r="L113" s="1413" t="s">
        <v>1320</v>
      </c>
      <c r="M113" s="1579" t="s">
        <v>1321</v>
      </c>
      <c r="N113" s="1579"/>
      <c r="O113" s="1579" t="s">
        <v>1320</v>
      </c>
      <c r="P113" s="1579"/>
      <c r="Q113" s="1579" t="s">
        <v>1321</v>
      </c>
      <c r="R113" s="1579"/>
      <c r="S113" s="1579"/>
      <c r="T113" s="1579"/>
      <c r="U113" s="1579"/>
    </row>
    <row r="114" spans="1:21" ht="14.1" customHeight="1">
      <c r="A114" s="1574" t="s">
        <v>1322</v>
      </c>
      <c r="B114" s="1574"/>
      <c r="C114" s="1574" t="s">
        <v>1383</v>
      </c>
      <c r="D114" s="1574"/>
      <c r="E114" s="1574"/>
      <c r="F114" s="1574" t="s">
        <v>1986</v>
      </c>
      <c r="G114" s="1574"/>
      <c r="H114" s="1574"/>
      <c r="I114" s="1574"/>
      <c r="J114" s="1412">
        <v>14199.44</v>
      </c>
      <c r="K114" s="1412">
        <v>0</v>
      </c>
      <c r="L114" s="1412">
        <v>13569.83</v>
      </c>
      <c r="M114" s="1575">
        <v>0</v>
      </c>
      <c r="N114" s="1575"/>
      <c r="O114" s="1575">
        <v>27769.27</v>
      </c>
      <c r="P114" s="1575"/>
      <c r="Q114" s="1575">
        <v>0</v>
      </c>
      <c r="R114" s="1575"/>
      <c r="S114" s="1575"/>
      <c r="T114" s="1575"/>
      <c r="U114" s="1575"/>
    </row>
    <row r="115" spans="1:21" ht="10.9" customHeight="1">
      <c r="A115" s="1574" t="s">
        <v>1322</v>
      </c>
      <c r="B115" s="1574"/>
      <c r="C115" s="1574" t="s">
        <v>1384</v>
      </c>
      <c r="D115" s="1574"/>
      <c r="E115" s="1574"/>
      <c r="F115" s="1574" t="s">
        <v>1987</v>
      </c>
      <c r="G115" s="1574"/>
      <c r="H115" s="1574"/>
      <c r="I115" s="1574"/>
      <c r="J115" s="1412">
        <v>0</v>
      </c>
      <c r="K115" s="1412">
        <v>0</v>
      </c>
      <c r="L115" s="1412">
        <v>687.19</v>
      </c>
      <c r="M115" s="1575">
        <v>687.19</v>
      </c>
      <c r="N115" s="1575"/>
      <c r="O115" s="1575">
        <v>0</v>
      </c>
      <c r="P115" s="1575"/>
      <c r="Q115" s="1575">
        <v>0</v>
      </c>
      <c r="R115" s="1575"/>
      <c r="S115" s="1575"/>
      <c r="T115" s="1575"/>
      <c r="U115" s="1575"/>
    </row>
    <row r="116" spans="1:21" ht="10.9" customHeight="1">
      <c r="A116" s="1574" t="s">
        <v>1322</v>
      </c>
      <c r="B116" s="1574"/>
      <c r="C116" s="1574" t="s">
        <v>1385</v>
      </c>
      <c r="D116" s="1574"/>
      <c r="E116" s="1574"/>
      <c r="F116" s="1574" t="s">
        <v>1988</v>
      </c>
      <c r="G116" s="1574"/>
      <c r="H116" s="1574"/>
      <c r="I116" s="1574"/>
      <c r="J116" s="1412">
        <v>76907.39</v>
      </c>
      <c r="K116" s="1412">
        <v>0</v>
      </c>
      <c r="L116" s="1412">
        <v>34408.82</v>
      </c>
      <c r="M116" s="1575">
        <v>70826.210000000006</v>
      </c>
      <c r="N116" s="1575"/>
      <c r="O116" s="1575">
        <v>40490</v>
      </c>
      <c r="P116" s="1575"/>
      <c r="Q116" s="1575">
        <v>0</v>
      </c>
      <c r="R116" s="1575"/>
      <c r="S116" s="1575"/>
      <c r="T116" s="1575"/>
      <c r="U116" s="1575"/>
    </row>
    <row r="117" spans="1:21" ht="10.9" customHeight="1">
      <c r="A117" s="1574" t="s">
        <v>1322</v>
      </c>
      <c r="B117" s="1574"/>
      <c r="C117" s="1574" t="s">
        <v>1386</v>
      </c>
      <c r="D117" s="1574"/>
      <c r="E117" s="1574"/>
      <c r="F117" s="1574" t="s">
        <v>1989</v>
      </c>
      <c r="G117" s="1574"/>
      <c r="H117" s="1574"/>
      <c r="I117" s="1574"/>
      <c r="J117" s="1412">
        <v>376742.63</v>
      </c>
      <c r="K117" s="1412">
        <v>0</v>
      </c>
      <c r="L117" s="1412">
        <v>383243.27</v>
      </c>
      <c r="M117" s="1575">
        <v>750879.79</v>
      </c>
      <c r="N117" s="1575"/>
      <c r="O117" s="1575">
        <v>9106.11</v>
      </c>
      <c r="P117" s="1575"/>
      <c r="Q117" s="1575">
        <v>0</v>
      </c>
      <c r="R117" s="1575"/>
      <c r="S117" s="1575"/>
      <c r="T117" s="1575"/>
      <c r="U117" s="1575"/>
    </row>
    <row r="118" spans="1:21" ht="10.9" customHeight="1">
      <c r="A118" s="1574" t="s">
        <v>1322</v>
      </c>
      <c r="B118" s="1574"/>
      <c r="C118" s="1574" t="s">
        <v>1387</v>
      </c>
      <c r="D118" s="1574"/>
      <c r="E118" s="1574"/>
      <c r="F118" s="1574" t="s">
        <v>1990</v>
      </c>
      <c r="G118" s="1574"/>
      <c r="H118" s="1574"/>
      <c r="I118" s="1574"/>
      <c r="J118" s="1412">
        <v>0</v>
      </c>
      <c r="K118" s="1412">
        <v>0</v>
      </c>
      <c r="L118" s="1412">
        <v>869.43</v>
      </c>
      <c r="M118" s="1575">
        <v>869.43</v>
      </c>
      <c r="N118" s="1575"/>
      <c r="O118" s="1575">
        <v>0</v>
      </c>
      <c r="P118" s="1575"/>
      <c r="Q118" s="1575">
        <v>0</v>
      </c>
      <c r="R118" s="1575"/>
      <c r="S118" s="1575"/>
      <c r="T118" s="1575"/>
      <c r="U118" s="1575"/>
    </row>
    <row r="119" spans="1:21" ht="10.9" customHeight="1">
      <c r="A119" s="1574" t="s">
        <v>1322</v>
      </c>
      <c r="B119" s="1574"/>
      <c r="C119" s="1574" t="s">
        <v>1777</v>
      </c>
      <c r="D119" s="1574"/>
      <c r="E119" s="1574"/>
      <c r="F119" s="1574" t="s">
        <v>1991</v>
      </c>
      <c r="G119" s="1574"/>
      <c r="H119" s="1574"/>
      <c r="I119" s="1574"/>
      <c r="J119" s="1412">
        <v>7812.57</v>
      </c>
      <c r="K119" s="1412">
        <v>0</v>
      </c>
      <c r="L119" s="1412">
        <v>4138.76</v>
      </c>
      <c r="M119" s="1575">
        <v>11861.35</v>
      </c>
      <c r="N119" s="1575"/>
      <c r="O119" s="1575">
        <v>89.98</v>
      </c>
      <c r="P119" s="1575"/>
      <c r="Q119" s="1575">
        <v>0</v>
      </c>
      <c r="R119" s="1575"/>
      <c r="S119" s="1575"/>
      <c r="T119" s="1575"/>
      <c r="U119" s="1575"/>
    </row>
    <row r="120" spans="1:21" ht="10.9" customHeight="1">
      <c r="A120" s="1574" t="s">
        <v>1322</v>
      </c>
      <c r="B120" s="1574"/>
      <c r="C120" s="1574" t="s">
        <v>1388</v>
      </c>
      <c r="D120" s="1574"/>
      <c r="E120" s="1574"/>
      <c r="F120" s="1574" t="s">
        <v>1021</v>
      </c>
      <c r="G120" s="1574"/>
      <c r="H120" s="1574"/>
      <c r="I120" s="1574"/>
      <c r="J120" s="1412">
        <v>2988</v>
      </c>
      <c r="K120" s="1412">
        <v>0</v>
      </c>
      <c r="L120" s="1412">
        <v>3227.02</v>
      </c>
      <c r="M120" s="1575">
        <v>6215.02</v>
      </c>
      <c r="N120" s="1575"/>
      <c r="O120" s="1575">
        <v>0</v>
      </c>
      <c r="P120" s="1575"/>
      <c r="Q120" s="1575">
        <v>0</v>
      </c>
      <c r="R120" s="1575"/>
      <c r="S120" s="1575"/>
      <c r="T120" s="1575"/>
      <c r="U120" s="1575"/>
    </row>
    <row r="121" spans="1:21" ht="10.9" customHeight="1">
      <c r="A121" s="1574" t="s">
        <v>1322</v>
      </c>
      <c r="B121" s="1574"/>
      <c r="C121" s="1574" t="s">
        <v>1389</v>
      </c>
      <c r="D121" s="1574"/>
      <c r="E121" s="1574"/>
      <c r="F121" s="1574" t="s">
        <v>1992</v>
      </c>
      <c r="G121" s="1574"/>
      <c r="H121" s="1574"/>
      <c r="I121" s="1574"/>
      <c r="J121" s="1412">
        <v>14957.1</v>
      </c>
      <c r="K121" s="1412">
        <v>0</v>
      </c>
      <c r="L121" s="1412">
        <v>9107.83</v>
      </c>
      <c r="M121" s="1575">
        <v>24064.93</v>
      </c>
      <c r="N121" s="1575"/>
      <c r="O121" s="1575">
        <v>0</v>
      </c>
      <c r="P121" s="1575"/>
      <c r="Q121" s="1575">
        <v>0</v>
      </c>
      <c r="R121" s="1575"/>
      <c r="S121" s="1575"/>
      <c r="T121" s="1575"/>
      <c r="U121" s="1575"/>
    </row>
    <row r="122" spans="1:21" ht="10.9" customHeight="1">
      <c r="A122" s="1574" t="s">
        <v>1322</v>
      </c>
      <c r="B122" s="1574"/>
      <c r="C122" s="1574" t="s">
        <v>1390</v>
      </c>
      <c r="D122" s="1574"/>
      <c r="E122" s="1574"/>
      <c r="F122" s="1574" t="s">
        <v>1995</v>
      </c>
      <c r="G122" s="1574"/>
      <c r="H122" s="1574"/>
      <c r="I122" s="1574"/>
      <c r="J122" s="1412">
        <v>40516.36</v>
      </c>
      <c r="K122" s="1412">
        <v>0</v>
      </c>
      <c r="L122" s="1412">
        <v>1594.26</v>
      </c>
      <c r="M122" s="1575">
        <v>1594.26</v>
      </c>
      <c r="N122" s="1575"/>
      <c r="O122" s="1575">
        <v>40516.36</v>
      </c>
      <c r="P122" s="1575"/>
      <c r="Q122" s="1575">
        <v>0</v>
      </c>
      <c r="R122" s="1575"/>
      <c r="S122" s="1575"/>
      <c r="T122" s="1575"/>
      <c r="U122" s="1575"/>
    </row>
    <row r="123" spans="1:21" ht="10.9" customHeight="1">
      <c r="A123" s="1574" t="s">
        <v>1322</v>
      </c>
      <c r="B123" s="1574"/>
      <c r="C123" s="1574" t="s">
        <v>1391</v>
      </c>
      <c r="D123" s="1574"/>
      <c r="E123" s="1574"/>
      <c r="F123" s="1574" t="s">
        <v>1996</v>
      </c>
      <c r="G123" s="1574"/>
      <c r="H123" s="1574"/>
      <c r="I123" s="1574"/>
      <c r="J123" s="1412">
        <v>84858.67</v>
      </c>
      <c r="K123" s="1412">
        <v>0</v>
      </c>
      <c r="L123" s="1412">
        <v>568317.98</v>
      </c>
      <c r="M123" s="1575">
        <v>601074.41</v>
      </c>
      <c r="N123" s="1575"/>
      <c r="O123" s="1575">
        <v>52102.239999999998</v>
      </c>
      <c r="P123" s="1575"/>
      <c r="Q123" s="1575">
        <v>0</v>
      </c>
      <c r="R123" s="1575"/>
      <c r="S123" s="1575"/>
      <c r="T123" s="1575"/>
      <c r="U123" s="1575"/>
    </row>
    <row r="124" spans="1:21" ht="10.9" customHeight="1">
      <c r="A124" s="1574" t="s">
        <v>1322</v>
      </c>
      <c r="B124" s="1574"/>
      <c r="C124" s="1574" t="s">
        <v>1392</v>
      </c>
      <c r="D124" s="1574"/>
      <c r="E124" s="1574"/>
      <c r="F124" s="1574" t="s">
        <v>1997</v>
      </c>
      <c r="G124" s="1574"/>
      <c r="H124" s="1574"/>
      <c r="I124" s="1574"/>
      <c r="J124" s="1412">
        <v>354.91</v>
      </c>
      <c r="K124" s="1412">
        <v>0</v>
      </c>
      <c r="L124" s="1412">
        <v>48145.35</v>
      </c>
      <c r="M124" s="1575">
        <v>48145.35</v>
      </c>
      <c r="N124" s="1575"/>
      <c r="O124" s="1575">
        <v>354.91</v>
      </c>
      <c r="P124" s="1575"/>
      <c r="Q124" s="1575">
        <v>0</v>
      </c>
      <c r="R124" s="1575"/>
      <c r="S124" s="1575"/>
      <c r="T124" s="1575"/>
      <c r="U124" s="1575"/>
    </row>
    <row r="125" spans="1:21" ht="10.9" customHeight="1">
      <c r="A125" s="1574" t="s">
        <v>1322</v>
      </c>
      <c r="B125" s="1574"/>
      <c r="C125" s="1574" t="s">
        <v>1393</v>
      </c>
      <c r="D125" s="1574"/>
      <c r="E125" s="1574"/>
      <c r="F125" s="1574" t="s">
        <v>1998</v>
      </c>
      <c r="G125" s="1574"/>
      <c r="H125" s="1574"/>
      <c r="I125" s="1574"/>
      <c r="J125" s="1412">
        <v>1061551.6200000001</v>
      </c>
      <c r="K125" s="1412">
        <v>0</v>
      </c>
      <c r="L125" s="1412">
        <v>138252.89000000001</v>
      </c>
      <c r="M125" s="1575">
        <v>0</v>
      </c>
      <c r="N125" s="1575"/>
      <c r="O125" s="1575">
        <v>1199804.51</v>
      </c>
      <c r="P125" s="1575"/>
      <c r="Q125" s="1575">
        <v>0</v>
      </c>
      <c r="R125" s="1575"/>
      <c r="S125" s="1575"/>
      <c r="T125" s="1575"/>
      <c r="U125" s="1575"/>
    </row>
    <row r="126" spans="1:21" ht="10.9" customHeight="1">
      <c r="A126" s="1574" t="s">
        <v>1322</v>
      </c>
      <c r="B126" s="1574"/>
      <c r="C126" s="1574" t="s">
        <v>1394</v>
      </c>
      <c r="D126" s="1574"/>
      <c r="E126" s="1574"/>
      <c r="F126" s="1574" t="s">
        <v>1999</v>
      </c>
      <c r="G126" s="1574"/>
      <c r="H126" s="1574"/>
      <c r="I126" s="1574"/>
      <c r="J126" s="1412">
        <v>147483.07999999999</v>
      </c>
      <c r="K126" s="1412">
        <v>0</v>
      </c>
      <c r="L126" s="1412">
        <v>128651.92</v>
      </c>
      <c r="M126" s="1575">
        <v>272298.26</v>
      </c>
      <c r="N126" s="1575"/>
      <c r="O126" s="1575">
        <v>3836.74</v>
      </c>
      <c r="P126" s="1575"/>
      <c r="Q126" s="1575">
        <v>0</v>
      </c>
      <c r="R126" s="1575"/>
      <c r="S126" s="1575"/>
      <c r="T126" s="1575"/>
      <c r="U126" s="1575"/>
    </row>
    <row r="127" spans="1:21" ht="10.9" customHeight="1">
      <c r="A127" s="1574" t="s">
        <v>1322</v>
      </c>
      <c r="B127" s="1574"/>
      <c r="C127" s="1574" t="s">
        <v>1395</v>
      </c>
      <c r="D127" s="1574"/>
      <c r="E127" s="1574"/>
      <c r="F127" s="1574" t="s">
        <v>2000</v>
      </c>
      <c r="G127" s="1574"/>
      <c r="H127" s="1574"/>
      <c r="I127" s="1574"/>
      <c r="J127" s="1412">
        <v>0</v>
      </c>
      <c r="K127" s="1412">
        <v>0</v>
      </c>
      <c r="L127" s="1412">
        <v>144018.42000000001</v>
      </c>
      <c r="M127" s="1575">
        <v>0</v>
      </c>
      <c r="N127" s="1575"/>
      <c r="O127" s="1575">
        <v>144018.42000000001</v>
      </c>
      <c r="P127" s="1575"/>
      <c r="Q127" s="1575">
        <v>0</v>
      </c>
      <c r="R127" s="1575"/>
      <c r="S127" s="1575"/>
      <c r="T127" s="1575"/>
      <c r="U127" s="1575"/>
    </row>
    <row r="128" spans="1:21" ht="10.9" customHeight="1">
      <c r="A128" s="1574" t="s">
        <v>1322</v>
      </c>
      <c r="B128" s="1574"/>
      <c r="C128" s="1574" t="s">
        <v>1396</v>
      </c>
      <c r="D128" s="1574"/>
      <c r="E128" s="1574"/>
      <c r="F128" s="1574" t="s">
        <v>2001</v>
      </c>
      <c r="G128" s="1574"/>
      <c r="H128" s="1574"/>
      <c r="I128" s="1574"/>
      <c r="J128" s="1412">
        <v>0</v>
      </c>
      <c r="K128" s="1412">
        <v>0</v>
      </c>
      <c r="L128" s="1412">
        <v>0</v>
      </c>
      <c r="M128" s="1575">
        <v>0</v>
      </c>
      <c r="N128" s="1575"/>
      <c r="O128" s="1575">
        <v>0</v>
      </c>
      <c r="P128" s="1575"/>
      <c r="Q128" s="1575">
        <v>0</v>
      </c>
      <c r="R128" s="1575"/>
      <c r="S128" s="1575"/>
      <c r="T128" s="1575"/>
      <c r="U128" s="1575"/>
    </row>
    <row r="129" spans="1:21" ht="10.9" customHeight="1">
      <c r="A129" s="1574" t="s">
        <v>1322</v>
      </c>
      <c r="B129" s="1574"/>
      <c r="C129" s="1574" t="s">
        <v>1397</v>
      </c>
      <c r="D129" s="1574"/>
      <c r="E129" s="1574"/>
      <c r="F129" s="1574" t="s">
        <v>2002</v>
      </c>
      <c r="G129" s="1574"/>
      <c r="H129" s="1574"/>
      <c r="I129" s="1574"/>
      <c r="J129" s="1412">
        <v>0</v>
      </c>
      <c r="K129" s="1412">
        <v>0</v>
      </c>
      <c r="L129" s="1412">
        <v>1017.03</v>
      </c>
      <c r="M129" s="1575">
        <v>1017.03</v>
      </c>
      <c r="N129" s="1575"/>
      <c r="O129" s="1575">
        <v>0</v>
      </c>
      <c r="P129" s="1575"/>
      <c r="Q129" s="1575">
        <v>0</v>
      </c>
      <c r="R129" s="1575"/>
      <c r="S129" s="1575"/>
      <c r="T129" s="1575"/>
      <c r="U129" s="1575"/>
    </row>
    <row r="130" spans="1:21" ht="10.9" customHeight="1">
      <c r="A130" s="1574" t="s">
        <v>1322</v>
      </c>
      <c r="B130" s="1574"/>
      <c r="C130" s="1574" t="s">
        <v>1398</v>
      </c>
      <c r="D130" s="1574"/>
      <c r="E130" s="1574"/>
      <c r="F130" s="1574" t="s">
        <v>2003</v>
      </c>
      <c r="G130" s="1574"/>
      <c r="H130" s="1574"/>
      <c r="I130" s="1574"/>
      <c r="J130" s="1412">
        <v>0</v>
      </c>
      <c r="K130" s="1412">
        <v>0</v>
      </c>
      <c r="L130" s="1412">
        <v>1017.03</v>
      </c>
      <c r="M130" s="1575">
        <v>1017.03</v>
      </c>
      <c r="N130" s="1575"/>
      <c r="O130" s="1575">
        <v>0</v>
      </c>
      <c r="P130" s="1575"/>
      <c r="Q130" s="1575">
        <v>0</v>
      </c>
      <c r="R130" s="1575"/>
      <c r="S130" s="1575"/>
      <c r="T130" s="1575"/>
      <c r="U130" s="1575"/>
    </row>
    <row r="131" spans="1:21" ht="10.9" customHeight="1">
      <c r="A131" s="1574" t="s">
        <v>1322</v>
      </c>
      <c r="B131" s="1574"/>
      <c r="C131" s="1574" t="s">
        <v>1399</v>
      </c>
      <c r="D131" s="1574"/>
      <c r="E131" s="1574"/>
      <c r="F131" s="1574" t="s">
        <v>2004</v>
      </c>
      <c r="G131" s="1574"/>
      <c r="H131" s="1574"/>
      <c r="I131" s="1574"/>
      <c r="J131" s="1412">
        <v>146309.64000000001</v>
      </c>
      <c r="K131" s="1412">
        <v>0</v>
      </c>
      <c r="L131" s="1412">
        <v>0</v>
      </c>
      <c r="M131" s="1575">
        <v>74689.97</v>
      </c>
      <c r="N131" s="1575"/>
      <c r="O131" s="1575">
        <v>71619.67</v>
      </c>
      <c r="P131" s="1575"/>
      <c r="Q131" s="1575">
        <v>0</v>
      </c>
      <c r="R131" s="1575"/>
      <c r="S131" s="1575"/>
      <c r="T131" s="1575"/>
      <c r="U131" s="1575"/>
    </row>
    <row r="132" spans="1:21" ht="10.9" customHeight="1">
      <c r="A132" s="1574" t="s">
        <v>1322</v>
      </c>
      <c r="B132" s="1574"/>
      <c r="C132" s="1574" t="s">
        <v>1774</v>
      </c>
      <c r="D132" s="1574"/>
      <c r="E132" s="1574"/>
      <c r="F132" s="1574" t="s">
        <v>2005</v>
      </c>
      <c r="G132" s="1574"/>
      <c r="H132" s="1574"/>
      <c r="I132" s="1574"/>
      <c r="J132" s="1412">
        <v>224745.39</v>
      </c>
      <c r="K132" s="1412">
        <v>0</v>
      </c>
      <c r="L132" s="1412">
        <v>0</v>
      </c>
      <c r="M132" s="1575">
        <v>0</v>
      </c>
      <c r="N132" s="1575"/>
      <c r="O132" s="1575">
        <v>224745.39</v>
      </c>
      <c r="P132" s="1575"/>
      <c r="Q132" s="1575">
        <v>0</v>
      </c>
      <c r="R132" s="1575"/>
      <c r="S132" s="1575"/>
      <c r="T132" s="1575"/>
      <c r="U132" s="1575"/>
    </row>
    <row r="133" spans="1:21" ht="10.9" customHeight="1">
      <c r="A133" s="1574" t="s">
        <v>1322</v>
      </c>
      <c r="B133" s="1574"/>
      <c r="C133" s="1574" t="s">
        <v>1400</v>
      </c>
      <c r="D133" s="1574"/>
      <c r="E133" s="1574"/>
      <c r="F133" s="1574" t="s">
        <v>2006</v>
      </c>
      <c r="G133" s="1574"/>
      <c r="H133" s="1574"/>
      <c r="I133" s="1574"/>
      <c r="J133" s="1412">
        <v>245866.64</v>
      </c>
      <c r="K133" s="1412">
        <v>0</v>
      </c>
      <c r="L133" s="1412">
        <v>263563.45</v>
      </c>
      <c r="M133" s="1575">
        <v>245866.63</v>
      </c>
      <c r="N133" s="1575"/>
      <c r="O133" s="1575">
        <v>263563.46000000002</v>
      </c>
      <c r="P133" s="1575"/>
      <c r="Q133" s="1575">
        <v>0</v>
      </c>
      <c r="R133" s="1575"/>
      <c r="S133" s="1575"/>
      <c r="T133" s="1575"/>
      <c r="U133" s="1575"/>
    </row>
    <row r="134" spans="1:21" ht="10.9" customHeight="1">
      <c r="A134" s="1574" t="s">
        <v>1322</v>
      </c>
      <c r="B134" s="1574"/>
      <c r="C134" s="1574" t="s">
        <v>1401</v>
      </c>
      <c r="D134" s="1574"/>
      <c r="E134" s="1574"/>
      <c r="F134" s="1574" t="s">
        <v>2007</v>
      </c>
      <c r="G134" s="1574"/>
      <c r="H134" s="1574"/>
      <c r="I134" s="1574"/>
      <c r="J134" s="1412">
        <v>3718.69</v>
      </c>
      <c r="K134" s="1412">
        <v>0</v>
      </c>
      <c r="L134" s="1412">
        <v>9070.82</v>
      </c>
      <c r="M134" s="1575">
        <v>9070.82</v>
      </c>
      <c r="N134" s="1575"/>
      <c r="O134" s="1575">
        <v>3718.69</v>
      </c>
      <c r="P134" s="1575"/>
      <c r="Q134" s="1575">
        <v>0</v>
      </c>
      <c r="R134" s="1575"/>
      <c r="S134" s="1575"/>
      <c r="T134" s="1575"/>
      <c r="U134" s="1575"/>
    </row>
    <row r="135" spans="1:21" ht="10.9" customHeight="1">
      <c r="A135" s="1574" t="s">
        <v>1322</v>
      </c>
      <c r="B135" s="1574"/>
      <c r="C135" s="1574" t="s">
        <v>1402</v>
      </c>
      <c r="D135" s="1574"/>
      <c r="E135" s="1574"/>
      <c r="F135" s="1574" t="s">
        <v>2008</v>
      </c>
      <c r="G135" s="1574"/>
      <c r="H135" s="1574"/>
      <c r="I135" s="1574"/>
      <c r="J135" s="1412">
        <v>0</v>
      </c>
      <c r="K135" s="1412">
        <v>0</v>
      </c>
      <c r="L135" s="1412">
        <v>1099.5</v>
      </c>
      <c r="M135" s="1575">
        <v>1099.5</v>
      </c>
      <c r="N135" s="1575"/>
      <c r="O135" s="1575">
        <v>0</v>
      </c>
      <c r="P135" s="1575"/>
      <c r="Q135" s="1575">
        <v>0</v>
      </c>
      <c r="R135" s="1575"/>
      <c r="S135" s="1575"/>
      <c r="T135" s="1575"/>
      <c r="U135" s="1575"/>
    </row>
    <row r="136" spans="1:21" ht="10.9" customHeight="1">
      <c r="A136" s="1574" t="s">
        <v>1322</v>
      </c>
      <c r="B136" s="1574"/>
      <c r="C136" s="1574" t="s">
        <v>1762</v>
      </c>
      <c r="D136" s="1574"/>
      <c r="E136" s="1574"/>
      <c r="F136" s="1574" t="s">
        <v>2009</v>
      </c>
      <c r="G136" s="1574"/>
      <c r="H136" s="1574"/>
      <c r="I136" s="1574"/>
      <c r="J136" s="1412">
        <v>0</v>
      </c>
      <c r="K136" s="1412">
        <v>0</v>
      </c>
      <c r="L136" s="1412">
        <v>2901.43</v>
      </c>
      <c r="M136" s="1575">
        <v>2901.43</v>
      </c>
      <c r="N136" s="1575"/>
      <c r="O136" s="1575">
        <v>0</v>
      </c>
      <c r="P136" s="1575"/>
      <c r="Q136" s="1575">
        <v>0</v>
      </c>
      <c r="R136" s="1575"/>
      <c r="S136" s="1575"/>
      <c r="T136" s="1575"/>
      <c r="U136" s="1575"/>
    </row>
    <row r="137" spans="1:21" ht="10.9" customHeight="1">
      <c r="A137" s="1574" t="s">
        <v>1322</v>
      </c>
      <c r="B137" s="1574"/>
      <c r="C137" s="1574" t="s">
        <v>1403</v>
      </c>
      <c r="D137" s="1574"/>
      <c r="E137" s="1574"/>
      <c r="F137" s="1574" t="s">
        <v>2010</v>
      </c>
      <c r="G137" s="1574"/>
      <c r="H137" s="1574"/>
      <c r="I137" s="1574"/>
      <c r="J137" s="1412">
        <v>828.39</v>
      </c>
      <c r="K137" s="1412">
        <v>0</v>
      </c>
      <c r="L137" s="1412">
        <v>761.03</v>
      </c>
      <c r="M137" s="1575">
        <v>761.03</v>
      </c>
      <c r="N137" s="1575"/>
      <c r="O137" s="1575">
        <v>828.39</v>
      </c>
      <c r="P137" s="1575"/>
      <c r="Q137" s="1575">
        <v>0</v>
      </c>
      <c r="R137" s="1575"/>
      <c r="S137" s="1575"/>
      <c r="T137" s="1575"/>
      <c r="U137" s="1575"/>
    </row>
    <row r="138" spans="1:21" ht="10.9" customHeight="1">
      <c r="A138" s="1574" t="s">
        <v>1322</v>
      </c>
      <c r="B138" s="1574"/>
      <c r="C138" s="1574" t="s">
        <v>1404</v>
      </c>
      <c r="D138" s="1574"/>
      <c r="E138" s="1574"/>
      <c r="F138" s="1574" t="s">
        <v>2011</v>
      </c>
      <c r="G138" s="1574"/>
      <c r="H138" s="1574"/>
      <c r="I138" s="1574"/>
      <c r="J138" s="1412">
        <v>11028.98</v>
      </c>
      <c r="K138" s="1412">
        <v>0</v>
      </c>
      <c r="L138" s="1412">
        <v>16378.26</v>
      </c>
      <c r="M138" s="1575">
        <v>16378.26</v>
      </c>
      <c r="N138" s="1575"/>
      <c r="O138" s="1575">
        <v>11028.98</v>
      </c>
      <c r="P138" s="1575"/>
      <c r="Q138" s="1575">
        <v>0</v>
      </c>
      <c r="R138" s="1575"/>
      <c r="S138" s="1575"/>
      <c r="T138" s="1575"/>
      <c r="U138" s="1575"/>
    </row>
    <row r="139" spans="1:21" ht="10.9" customHeight="1">
      <c r="A139" s="1574" t="s">
        <v>1322</v>
      </c>
      <c r="B139" s="1574"/>
      <c r="C139" s="1574" t="s">
        <v>5769</v>
      </c>
      <c r="D139" s="1574"/>
      <c r="E139" s="1574"/>
      <c r="F139" s="1574" t="s">
        <v>5770</v>
      </c>
      <c r="G139" s="1574"/>
      <c r="H139" s="1574"/>
      <c r="I139" s="1574"/>
      <c r="J139" s="1412">
        <v>0</v>
      </c>
      <c r="K139" s="1412">
        <v>0</v>
      </c>
      <c r="L139" s="1412">
        <v>0</v>
      </c>
      <c r="M139" s="1575">
        <v>0</v>
      </c>
      <c r="N139" s="1575"/>
      <c r="O139" s="1575">
        <v>0</v>
      </c>
      <c r="P139" s="1575"/>
      <c r="Q139" s="1575">
        <v>0</v>
      </c>
      <c r="R139" s="1575"/>
      <c r="S139" s="1575"/>
      <c r="T139" s="1575"/>
      <c r="U139" s="1575"/>
    </row>
    <row r="140" spans="1:21" ht="11.1" customHeight="1">
      <c r="A140" s="1574" t="s">
        <v>1322</v>
      </c>
      <c r="B140" s="1574"/>
      <c r="C140" s="1574" t="s">
        <v>1405</v>
      </c>
      <c r="D140" s="1574"/>
      <c r="E140" s="1574"/>
      <c r="F140" s="1574" t="s">
        <v>3151</v>
      </c>
      <c r="G140" s="1574"/>
      <c r="H140" s="1574"/>
      <c r="I140" s="1574"/>
      <c r="J140" s="1412">
        <v>3058.85</v>
      </c>
      <c r="K140" s="1412">
        <v>0</v>
      </c>
      <c r="L140" s="1412">
        <v>90367.65</v>
      </c>
      <c r="M140" s="1575">
        <v>90367.65</v>
      </c>
      <c r="N140" s="1575"/>
      <c r="O140" s="1575">
        <v>3058.85</v>
      </c>
      <c r="P140" s="1575"/>
      <c r="Q140" s="1575">
        <v>0</v>
      </c>
      <c r="R140" s="1575"/>
      <c r="S140" s="1575"/>
      <c r="T140" s="1575"/>
      <c r="U140" s="1575"/>
    </row>
    <row r="141" spans="1:21" ht="10.9" customHeight="1">
      <c r="A141" s="1574" t="s">
        <v>1322</v>
      </c>
      <c r="B141" s="1574"/>
      <c r="C141" s="1574" t="s">
        <v>3228</v>
      </c>
      <c r="D141" s="1574"/>
      <c r="E141" s="1574"/>
      <c r="F141" s="1574" t="s">
        <v>3229</v>
      </c>
      <c r="G141" s="1574"/>
      <c r="H141" s="1574"/>
      <c r="I141" s="1574"/>
      <c r="J141" s="1412">
        <v>0</v>
      </c>
      <c r="K141" s="1412">
        <v>0</v>
      </c>
      <c r="L141" s="1412">
        <v>11279.11</v>
      </c>
      <c r="M141" s="1575">
        <v>11279.11</v>
      </c>
      <c r="N141" s="1575"/>
      <c r="O141" s="1575">
        <v>0</v>
      </c>
      <c r="P141" s="1575"/>
      <c r="Q141" s="1575">
        <v>0</v>
      </c>
      <c r="R141" s="1575"/>
      <c r="S141" s="1575"/>
      <c r="T141" s="1575"/>
      <c r="U141" s="1575"/>
    </row>
    <row r="142" spans="1:21" ht="10.9" customHeight="1">
      <c r="A142" s="1574" t="s">
        <v>1322</v>
      </c>
      <c r="B142" s="1574"/>
      <c r="C142" s="1574" t="s">
        <v>1406</v>
      </c>
      <c r="D142" s="1574"/>
      <c r="E142" s="1574"/>
      <c r="F142" s="1574" t="s">
        <v>2012</v>
      </c>
      <c r="G142" s="1574"/>
      <c r="H142" s="1574"/>
      <c r="I142" s="1574"/>
      <c r="J142" s="1412">
        <v>38735.08</v>
      </c>
      <c r="K142" s="1412">
        <v>0</v>
      </c>
      <c r="L142" s="1412">
        <v>11625.2</v>
      </c>
      <c r="M142" s="1575">
        <v>0</v>
      </c>
      <c r="N142" s="1575"/>
      <c r="O142" s="1575">
        <v>50360.28</v>
      </c>
      <c r="P142" s="1575"/>
      <c r="Q142" s="1575">
        <v>0</v>
      </c>
      <c r="R142" s="1575"/>
      <c r="S142" s="1575"/>
      <c r="T142" s="1575"/>
      <c r="U142" s="1575"/>
    </row>
    <row r="143" spans="1:21" ht="10.9" customHeight="1">
      <c r="A143" s="1574" t="s">
        <v>1322</v>
      </c>
      <c r="B143" s="1574"/>
      <c r="C143" s="1574" t="s">
        <v>1407</v>
      </c>
      <c r="D143" s="1574"/>
      <c r="E143" s="1574"/>
      <c r="F143" s="1574" t="s">
        <v>2013</v>
      </c>
      <c r="G143" s="1574"/>
      <c r="H143" s="1574"/>
      <c r="I143" s="1574"/>
      <c r="J143" s="1412">
        <v>6156.46</v>
      </c>
      <c r="K143" s="1412">
        <v>0</v>
      </c>
      <c r="L143" s="1412">
        <v>3168.41</v>
      </c>
      <c r="M143" s="1575">
        <v>6156.46</v>
      </c>
      <c r="N143" s="1575"/>
      <c r="O143" s="1575">
        <v>3168.41</v>
      </c>
      <c r="P143" s="1575"/>
      <c r="Q143" s="1575">
        <v>0</v>
      </c>
      <c r="R143" s="1575"/>
      <c r="S143" s="1575"/>
      <c r="T143" s="1575"/>
      <c r="U143" s="1575"/>
    </row>
    <row r="144" spans="1:21" ht="10.9" customHeight="1">
      <c r="A144" s="1574" t="s">
        <v>1322</v>
      </c>
      <c r="B144" s="1574"/>
      <c r="C144" s="1574" t="s">
        <v>2014</v>
      </c>
      <c r="D144" s="1574"/>
      <c r="E144" s="1574"/>
      <c r="F144" s="1574" t="s">
        <v>2015</v>
      </c>
      <c r="G144" s="1574"/>
      <c r="H144" s="1574"/>
      <c r="I144" s="1574"/>
      <c r="J144" s="1412">
        <v>0</v>
      </c>
      <c r="K144" s="1412">
        <v>0</v>
      </c>
      <c r="L144" s="1412">
        <v>6557.56</v>
      </c>
      <c r="M144" s="1575">
        <v>0</v>
      </c>
      <c r="N144" s="1575"/>
      <c r="O144" s="1575">
        <v>6557.56</v>
      </c>
      <c r="P144" s="1575"/>
      <c r="Q144" s="1575">
        <v>0</v>
      </c>
      <c r="R144" s="1575"/>
      <c r="S144" s="1575"/>
      <c r="T144" s="1575"/>
      <c r="U144" s="1575"/>
    </row>
    <row r="145" spans="1:23" ht="10.9" customHeight="1">
      <c r="A145" s="1574" t="s">
        <v>1322</v>
      </c>
      <c r="B145" s="1574"/>
      <c r="C145" s="1574" t="s">
        <v>1408</v>
      </c>
      <c r="D145" s="1574"/>
      <c r="E145" s="1574"/>
      <c r="F145" s="1574" t="s">
        <v>2016</v>
      </c>
      <c r="G145" s="1574"/>
      <c r="H145" s="1574"/>
      <c r="I145" s="1574"/>
      <c r="J145" s="1412">
        <v>646.39</v>
      </c>
      <c r="K145" s="1412">
        <v>0</v>
      </c>
      <c r="L145" s="1412">
        <v>0</v>
      </c>
      <c r="M145" s="1575">
        <v>0</v>
      </c>
      <c r="N145" s="1575"/>
      <c r="O145" s="1575">
        <v>646.39</v>
      </c>
      <c r="P145" s="1575"/>
      <c r="Q145" s="1575">
        <v>0</v>
      </c>
      <c r="R145" s="1575"/>
      <c r="S145" s="1575"/>
      <c r="T145" s="1575"/>
      <c r="U145" s="1575"/>
    </row>
    <row r="146" spans="1:23" ht="10.9" customHeight="1">
      <c r="A146" s="1574" t="s">
        <v>1322</v>
      </c>
      <c r="B146" s="1574"/>
      <c r="C146" s="1574" t="s">
        <v>1409</v>
      </c>
      <c r="D146" s="1574"/>
      <c r="E146" s="1574"/>
      <c r="F146" s="1574" t="s">
        <v>2017</v>
      </c>
      <c r="G146" s="1574"/>
      <c r="H146" s="1574"/>
      <c r="I146" s="1574"/>
      <c r="J146" s="1412">
        <v>0</v>
      </c>
      <c r="K146" s="1412">
        <v>0</v>
      </c>
      <c r="L146" s="1412">
        <v>49512.91</v>
      </c>
      <c r="M146" s="1575">
        <v>49512.91</v>
      </c>
      <c r="N146" s="1575"/>
      <c r="O146" s="1575">
        <v>0</v>
      </c>
      <c r="P146" s="1575"/>
      <c r="Q146" s="1575">
        <v>0</v>
      </c>
      <c r="R146" s="1575"/>
      <c r="S146" s="1575"/>
      <c r="T146" s="1575"/>
      <c r="U146" s="1575"/>
    </row>
    <row r="147" spans="1:23" ht="10.9" customHeight="1">
      <c r="A147" s="1574" t="s">
        <v>1322</v>
      </c>
      <c r="B147" s="1574"/>
      <c r="C147" s="1574" t="s">
        <v>1410</v>
      </c>
      <c r="D147" s="1574"/>
      <c r="E147" s="1574"/>
      <c r="F147" s="1574" t="s">
        <v>2018</v>
      </c>
      <c r="G147" s="1574"/>
      <c r="H147" s="1574"/>
      <c r="I147" s="1574"/>
      <c r="J147" s="1412">
        <v>0</v>
      </c>
      <c r="K147" s="1412">
        <v>0</v>
      </c>
      <c r="L147" s="1412">
        <v>1806.66</v>
      </c>
      <c r="M147" s="1575">
        <v>0</v>
      </c>
      <c r="N147" s="1575"/>
      <c r="O147" s="1575">
        <v>1806.66</v>
      </c>
      <c r="P147" s="1575"/>
      <c r="Q147" s="1575">
        <v>0</v>
      </c>
      <c r="R147" s="1575"/>
      <c r="S147" s="1575"/>
      <c r="T147" s="1575"/>
      <c r="U147" s="1575"/>
    </row>
    <row r="148" spans="1:23" ht="10.9" customHeight="1">
      <c r="A148" s="1574" t="s">
        <v>1322</v>
      </c>
      <c r="B148" s="1574"/>
      <c r="C148" s="1574" t="s">
        <v>1411</v>
      </c>
      <c r="D148" s="1574"/>
      <c r="E148" s="1574"/>
      <c r="F148" s="1574" t="s">
        <v>2019</v>
      </c>
      <c r="G148" s="1574"/>
      <c r="H148" s="1574"/>
      <c r="I148" s="1574"/>
      <c r="J148" s="1412">
        <v>19152.79</v>
      </c>
      <c r="K148" s="1412">
        <v>0</v>
      </c>
      <c r="L148" s="1412">
        <v>6393.11</v>
      </c>
      <c r="M148" s="1575">
        <v>25545.9</v>
      </c>
      <c r="N148" s="1575"/>
      <c r="O148" s="1575">
        <v>0</v>
      </c>
      <c r="P148" s="1575"/>
      <c r="Q148" s="1575">
        <v>0</v>
      </c>
      <c r="R148" s="1575"/>
      <c r="S148" s="1575"/>
      <c r="T148" s="1575"/>
      <c r="U148" s="1575"/>
    </row>
    <row r="149" spans="1:23" ht="10.9" customHeight="1">
      <c r="A149" s="1574" t="s">
        <v>1322</v>
      </c>
      <c r="B149" s="1574"/>
      <c r="C149" s="1574" t="s">
        <v>1412</v>
      </c>
      <c r="D149" s="1574"/>
      <c r="E149" s="1574"/>
      <c r="F149" s="1574" t="s">
        <v>2020</v>
      </c>
      <c r="G149" s="1574"/>
      <c r="H149" s="1574"/>
      <c r="I149" s="1574"/>
      <c r="J149" s="1412">
        <v>56313.7</v>
      </c>
      <c r="K149" s="1412">
        <v>0</v>
      </c>
      <c r="L149" s="1412">
        <v>52838.27</v>
      </c>
      <c r="M149" s="1575">
        <v>56313.67</v>
      </c>
      <c r="N149" s="1575"/>
      <c r="O149" s="1575">
        <v>52838.3</v>
      </c>
      <c r="P149" s="1575"/>
      <c r="Q149" s="1575">
        <v>0</v>
      </c>
      <c r="R149" s="1575"/>
      <c r="S149" s="1575"/>
      <c r="T149" s="1575"/>
      <c r="U149" s="1575"/>
    </row>
    <row r="150" spans="1:23" ht="10.9" customHeight="1">
      <c r="A150" s="1574" t="s">
        <v>1322</v>
      </c>
      <c r="B150" s="1574"/>
      <c r="C150" s="1574" t="s">
        <v>1703</v>
      </c>
      <c r="D150" s="1574"/>
      <c r="E150" s="1574"/>
      <c r="F150" s="1574" t="s">
        <v>2021</v>
      </c>
      <c r="G150" s="1574"/>
      <c r="H150" s="1574"/>
      <c r="I150" s="1574"/>
      <c r="J150" s="1412">
        <v>0</v>
      </c>
      <c r="K150" s="1412">
        <v>0</v>
      </c>
      <c r="L150" s="1412">
        <v>18826.310000000001</v>
      </c>
      <c r="M150" s="1575">
        <v>18826.310000000001</v>
      </c>
      <c r="N150" s="1575"/>
      <c r="O150" s="1575">
        <v>0</v>
      </c>
      <c r="P150" s="1575"/>
      <c r="Q150" s="1575">
        <v>0</v>
      </c>
      <c r="R150" s="1575"/>
      <c r="S150" s="1575"/>
      <c r="T150" s="1575"/>
      <c r="U150" s="1575"/>
    </row>
    <row r="151" spans="1:23" ht="10.9" customHeight="1">
      <c r="A151" s="1574" t="s">
        <v>1322</v>
      </c>
      <c r="B151" s="1574"/>
      <c r="C151" s="1574" t="s">
        <v>1413</v>
      </c>
      <c r="D151" s="1574"/>
      <c r="E151" s="1574"/>
      <c r="F151" s="1574" t="s">
        <v>2022</v>
      </c>
      <c r="G151" s="1574"/>
      <c r="H151" s="1574"/>
      <c r="I151" s="1574"/>
      <c r="J151" s="1412">
        <v>14607.89</v>
      </c>
      <c r="K151" s="1412">
        <v>0</v>
      </c>
      <c r="L151" s="1412">
        <v>8564.7999999999993</v>
      </c>
      <c r="M151" s="1575">
        <v>0</v>
      </c>
      <c r="N151" s="1575"/>
      <c r="O151" s="1575">
        <v>23172.69</v>
      </c>
      <c r="P151" s="1575"/>
      <c r="Q151" s="1575">
        <v>0</v>
      </c>
      <c r="R151" s="1575"/>
      <c r="S151" s="1575"/>
      <c r="T151" s="1575"/>
      <c r="U151" s="1575"/>
    </row>
    <row r="152" spans="1:23" ht="10.9" customHeight="1">
      <c r="A152" s="1574" t="s">
        <v>1322</v>
      </c>
      <c r="B152" s="1574"/>
      <c r="C152" s="1574" t="s">
        <v>1830</v>
      </c>
      <c r="D152" s="1574"/>
      <c r="E152" s="1574"/>
      <c r="F152" s="1574" t="s">
        <v>2023</v>
      </c>
      <c r="G152" s="1574"/>
      <c r="H152" s="1574"/>
      <c r="I152" s="1574"/>
      <c r="J152" s="1412">
        <v>0</v>
      </c>
      <c r="K152" s="1412">
        <v>0</v>
      </c>
      <c r="L152" s="1412">
        <v>37179.18</v>
      </c>
      <c r="M152" s="1575">
        <v>37179.18</v>
      </c>
      <c r="N152" s="1575"/>
      <c r="O152" s="1575">
        <v>0</v>
      </c>
      <c r="P152" s="1575"/>
      <c r="Q152" s="1575">
        <v>0</v>
      </c>
      <c r="R152" s="1575"/>
      <c r="S152" s="1575"/>
      <c r="T152" s="1575"/>
      <c r="U152" s="1575"/>
    </row>
    <row r="153" spans="1:23" ht="10.9" customHeight="1">
      <c r="A153" s="1574" t="s">
        <v>1322</v>
      </c>
      <c r="B153" s="1574"/>
      <c r="C153" s="1574" t="s">
        <v>1414</v>
      </c>
      <c r="D153" s="1574"/>
      <c r="E153" s="1574"/>
      <c r="F153" s="1574" t="s">
        <v>2024</v>
      </c>
      <c r="G153" s="1574"/>
      <c r="H153" s="1574"/>
      <c r="I153" s="1574"/>
      <c r="J153" s="1412">
        <v>0</v>
      </c>
      <c r="K153" s="1412">
        <v>0</v>
      </c>
      <c r="L153" s="1412">
        <v>33096.53</v>
      </c>
      <c r="M153" s="1575">
        <v>33096.53</v>
      </c>
      <c r="N153" s="1575"/>
      <c r="O153" s="1575">
        <v>0</v>
      </c>
      <c r="P153" s="1575"/>
      <c r="Q153" s="1575">
        <v>0</v>
      </c>
      <c r="R153" s="1575"/>
      <c r="S153" s="1575"/>
      <c r="T153" s="1575"/>
      <c r="U153" s="1575"/>
    </row>
    <row r="154" spans="1:23" ht="10.9" customHeight="1">
      <c r="A154" s="1574" t="s">
        <v>1322</v>
      </c>
      <c r="B154" s="1574"/>
      <c r="C154" s="1574" t="s">
        <v>1415</v>
      </c>
      <c r="D154" s="1574"/>
      <c r="E154" s="1574"/>
      <c r="F154" s="1574" t="s">
        <v>2025</v>
      </c>
      <c r="G154" s="1574"/>
      <c r="H154" s="1574"/>
      <c r="I154" s="1574"/>
      <c r="J154" s="1412">
        <v>0</v>
      </c>
      <c r="K154" s="1412">
        <v>0</v>
      </c>
      <c r="L154" s="1412">
        <v>0</v>
      </c>
      <c r="M154" s="1575">
        <v>0</v>
      </c>
      <c r="N154" s="1575"/>
      <c r="O154" s="1575">
        <v>0</v>
      </c>
      <c r="P154" s="1575"/>
      <c r="Q154" s="1575">
        <v>0</v>
      </c>
      <c r="R154" s="1575"/>
      <c r="S154" s="1575"/>
      <c r="T154" s="1575"/>
      <c r="U154" s="1575"/>
    </row>
    <row r="155" spans="1:23" ht="14.45" customHeight="1">
      <c r="S155" s="1573" t="s">
        <v>2034</v>
      </c>
      <c r="T155" s="1573"/>
      <c r="U155" s="1573"/>
      <c r="V155" s="1573"/>
      <c r="W155" s="1573"/>
    </row>
    <row r="156" spans="1:23" ht="7.15" customHeight="1">
      <c r="C156" s="1586" t="s">
        <v>2987</v>
      </c>
      <c r="D156" s="1586"/>
      <c r="E156" s="1586"/>
      <c r="F156" s="1586"/>
      <c r="G156" s="1586"/>
      <c r="H156" s="1586"/>
      <c r="I156" s="1586"/>
      <c r="J156" s="1586"/>
      <c r="K156" s="1586"/>
      <c r="L156" s="1586"/>
      <c r="M156" s="1586"/>
      <c r="N156" s="1586"/>
      <c r="O156" s="1586"/>
      <c r="P156" s="1586"/>
      <c r="Q156" s="1586"/>
      <c r="R156" s="1586"/>
      <c r="S156" s="1586"/>
      <c r="T156" s="1586"/>
    </row>
    <row r="157" spans="1:23" ht="9.6" customHeight="1">
      <c r="A157" s="1587"/>
      <c r="B157" s="1587"/>
      <c r="C157" s="1587"/>
      <c r="D157" s="1587"/>
      <c r="E157" s="1587"/>
      <c r="F157" s="1587"/>
      <c r="G157" s="1586"/>
      <c r="H157" s="1586"/>
      <c r="I157" s="1586"/>
      <c r="J157" s="1586"/>
      <c r="K157" s="1586"/>
      <c r="L157" s="1586"/>
      <c r="M157" s="1586"/>
      <c r="N157" s="1586"/>
      <c r="O157" s="1586"/>
      <c r="P157" s="1586"/>
      <c r="Q157" s="1586"/>
      <c r="R157" s="1586"/>
      <c r="S157" s="1586"/>
      <c r="T157" s="1586"/>
    </row>
    <row r="158" spans="1:23" ht="13.35" customHeight="1">
      <c r="A158" s="1587"/>
      <c r="B158" s="1587"/>
      <c r="C158" s="1587"/>
      <c r="D158" s="1587"/>
      <c r="E158" s="1587"/>
      <c r="F158" s="1587"/>
      <c r="G158" s="1588" t="s">
        <v>79</v>
      </c>
      <c r="H158" s="1588"/>
      <c r="I158" s="1588"/>
      <c r="J158" s="1588"/>
      <c r="K158" s="1588"/>
      <c r="L158" s="1588"/>
      <c r="M158" s="1588"/>
      <c r="N158" s="1588"/>
      <c r="O158" s="1588"/>
      <c r="P158" s="1588"/>
      <c r="Q158" s="1588"/>
      <c r="R158" s="1588"/>
    </row>
    <row r="159" spans="1:23" ht="5.25" customHeight="1">
      <c r="A159" s="1587"/>
      <c r="B159" s="1587"/>
      <c r="C159" s="1587"/>
      <c r="D159" s="1587"/>
      <c r="E159" s="1587"/>
      <c r="F159" s="1587"/>
      <c r="G159" s="1581" t="s">
        <v>7015</v>
      </c>
      <c r="H159" s="1581"/>
      <c r="I159" s="1581"/>
      <c r="J159" s="1581"/>
      <c r="K159" s="1581"/>
      <c r="L159" s="1581"/>
      <c r="M159" s="1581"/>
      <c r="N159" s="1581"/>
      <c r="O159" s="1581"/>
      <c r="P159" s="1581"/>
      <c r="Q159" s="1581"/>
    </row>
    <row r="160" spans="1:23" ht="8.1" customHeight="1">
      <c r="B160" s="1580" t="s">
        <v>1916</v>
      </c>
      <c r="C160" s="1580"/>
      <c r="D160" s="1580"/>
      <c r="E160" s="1580"/>
      <c r="F160" s="1580"/>
      <c r="G160" s="1580"/>
      <c r="H160" s="1581"/>
      <c r="I160" s="1581"/>
      <c r="J160" s="1581"/>
      <c r="K160" s="1581"/>
      <c r="L160" s="1581"/>
      <c r="M160" s="1581"/>
      <c r="N160" s="1582" t="s">
        <v>5619</v>
      </c>
      <c r="O160" s="1582"/>
      <c r="P160" s="1582"/>
      <c r="Q160" s="1582"/>
      <c r="R160" s="1582"/>
      <c r="S160" s="1582"/>
      <c r="T160" s="1583" t="s">
        <v>7016</v>
      </c>
      <c r="U160" s="1583"/>
      <c r="V160" s="1583"/>
      <c r="W160" s="1583"/>
    </row>
    <row r="161" spans="1:23" ht="6" customHeight="1">
      <c r="B161" s="1580"/>
      <c r="C161" s="1580"/>
      <c r="D161" s="1580"/>
      <c r="E161" s="1580"/>
      <c r="F161" s="1580"/>
      <c r="G161" s="1580"/>
      <c r="H161" s="1584" t="s">
        <v>7017</v>
      </c>
      <c r="I161" s="1584"/>
      <c r="J161" s="1584"/>
      <c r="K161" s="1584"/>
      <c r="L161" s="1584"/>
      <c r="M161" s="1584"/>
      <c r="N161" s="1582"/>
      <c r="O161" s="1582"/>
      <c r="P161" s="1582"/>
      <c r="Q161" s="1582"/>
      <c r="R161" s="1582"/>
      <c r="S161" s="1582"/>
      <c r="T161" s="1583"/>
      <c r="U161" s="1583"/>
      <c r="V161" s="1583"/>
      <c r="W161" s="1583"/>
    </row>
    <row r="162" spans="1:23" ht="7.35" customHeight="1">
      <c r="B162" s="1580" t="s">
        <v>1994</v>
      </c>
      <c r="C162" s="1580"/>
      <c r="D162" s="1580"/>
      <c r="E162" s="1585"/>
      <c r="F162" s="1585"/>
      <c r="G162" s="1585"/>
      <c r="H162" s="1585"/>
      <c r="I162" s="1585"/>
      <c r="J162" s="1585"/>
      <c r="K162" s="1585"/>
      <c r="L162" s="1585"/>
      <c r="M162" s="1585"/>
      <c r="N162" s="1585"/>
      <c r="O162" s="1585"/>
      <c r="P162" s="1585"/>
      <c r="Q162" s="1585"/>
      <c r="R162" s="1582"/>
      <c r="S162" s="1582"/>
      <c r="T162" s="1582" t="s">
        <v>7018</v>
      </c>
      <c r="U162" s="1582"/>
    </row>
    <row r="163" spans="1:23" ht="6.75" customHeight="1">
      <c r="E163" s="1585"/>
      <c r="F163" s="1585"/>
      <c r="G163" s="1585"/>
      <c r="H163" s="1585"/>
      <c r="I163" s="1585"/>
      <c r="J163" s="1585"/>
      <c r="K163" s="1585"/>
      <c r="L163" s="1585"/>
      <c r="M163" s="1585"/>
      <c r="N163" s="1585"/>
      <c r="O163" s="1585"/>
      <c r="P163" s="1585"/>
      <c r="Q163" s="1585"/>
      <c r="R163" s="1582"/>
      <c r="S163" s="1582"/>
      <c r="T163" s="1582"/>
      <c r="U163" s="1582"/>
    </row>
    <row r="164" spans="1:23" ht="10.9" customHeight="1">
      <c r="A164" s="1576"/>
      <c r="B164" s="1576"/>
      <c r="C164" s="1576"/>
      <c r="D164" s="1576"/>
      <c r="E164" s="1576"/>
      <c r="F164" s="1576"/>
      <c r="G164" s="1576"/>
      <c r="H164" s="1576"/>
      <c r="I164" s="1576"/>
      <c r="J164" s="1577" t="s">
        <v>1314</v>
      </c>
      <c r="K164" s="1577"/>
      <c r="L164" s="1577" t="s">
        <v>1315</v>
      </c>
      <c r="M164" s="1577"/>
      <c r="N164" s="1577"/>
      <c r="O164" s="1577" t="s">
        <v>1316</v>
      </c>
      <c r="P164" s="1577"/>
      <c r="Q164" s="1577"/>
      <c r="R164" s="1577"/>
      <c r="S164" s="1577"/>
      <c r="T164" s="1577"/>
      <c r="U164" s="1577"/>
    </row>
    <row r="165" spans="1:23" ht="14.1" customHeight="1">
      <c r="A165" s="1578" t="s">
        <v>1317</v>
      </c>
      <c r="B165" s="1578"/>
      <c r="C165" s="1578" t="s">
        <v>1318</v>
      </c>
      <c r="D165" s="1578"/>
      <c r="E165" s="1578"/>
      <c r="F165" s="1578" t="s">
        <v>1319</v>
      </c>
      <c r="G165" s="1578"/>
      <c r="H165" s="1578"/>
      <c r="I165" s="1578"/>
      <c r="J165" s="1413" t="s">
        <v>1320</v>
      </c>
      <c r="K165" s="1413" t="s">
        <v>1321</v>
      </c>
      <c r="L165" s="1413" t="s">
        <v>1320</v>
      </c>
      <c r="M165" s="1579" t="s">
        <v>1321</v>
      </c>
      <c r="N165" s="1579"/>
      <c r="O165" s="1579" t="s">
        <v>1320</v>
      </c>
      <c r="P165" s="1579"/>
      <c r="Q165" s="1579" t="s">
        <v>1321</v>
      </c>
      <c r="R165" s="1579"/>
      <c r="S165" s="1579"/>
      <c r="T165" s="1579"/>
      <c r="U165" s="1579"/>
    </row>
    <row r="166" spans="1:23" ht="14.1" customHeight="1">
      <c r="A166" s="1574" t="s">
        <v>1322</v>
      </c>
      <c r="B166" s="1574"/>
      <c r="C166" s="1574" t="s">
        <v>1416</v>
      </c>
      <c r="D166" s="1574"/>
      <c r="E166" s="1574"/>
      <c r="F166" s="1574" t="s">
        <v>2026</v>
      </c>
      <c r="G166" s="1574"/>
      <c r="H166" s="1574"/>
      <c r="I166" s="1574"/>
      <c r="J166" s="1412">
        <v>0</v>
      </c>
      <c r="K166" s="1412">
        <v>0</v>
      </c>
      <c r="L166" s="1412">
        <v>72478.84</v>
      </c>
      <c r="M166" s="1575">
        <v>72478.84</v>
      </c>
      <c r="N166" s="1575"/>
      <c r="O166" s="1575">
        <v>0</v>
      </c>
      <c r="P166" s="1575"/>
      <c r="Q166" s="1575">
        <v>0</v>
      </c>
      <c r="R166" s="1575"/>
      <c r="S166" s="1575"/>
      <c r="T166" s="1575"/>
      <c r="U166" s="1575"/>
    </row>
    <row r="167" spans="1:23" ht="10.9" customHeight="1">
      <c r="A167" s="1574" t="s">
        <v>1322</v>
      </c>
      <c r="B167" s="1574"/>
      <c r="C167" s="1574" t="s">
        <v>1417</v>
      </c>
      <c r="D167" s="1574"/>
      <c r="E167" s="1574"/>
      <c r="F167" s="1574" t="s">
        <v>2027</v>
      </c>
      <c r="G167" s="1574"/>
      <c r="H167" s="1574"/>
      <c r="I167" s="1574"/>
      <c r="J167" s="1412">
        <v>103014.65</v>
      </c>
      <c r="K167" s="1412">
        <v>0</v>
      </c>
      <c r="L167" s="1412">
        <v>46006.29</v>
      </c>
      <c r="M167" s="1575">
        <v>46006.29</v>
      </c>
      <c r="N167" s="1575"/>
      <c r="O167" s="1575">
        <v>103014.65</v>
      </c>
      <c r="P167" s="1575"/>
      <c r="Q167" s="1575">
        <v>0</v>
      </c>
      <c r="R167" s="1575"/>
      <c r="S167" s="1575"/>
      <c r="T167" s="1575"/>
      <c r="U167" s="1575"/>
    </row>
    <row r="168" spans="1:23" ht="10.9" customHeight="1">
      <c r="A168" s="1574" t="s">
        <v>1322</v>
      </c>
      <c r="B168" s="1574"/>
      <c r="C168" s="1574" t="s">
        <v>1418</v>
      </c>
      <c r="D168" s="1574"/>
      <c r="E168" s="1574"/>
      <c r="F168" s="1574" t="s">
        <v>2028</v>
      </c>
      <c r="G168" s="1574"/>
      <c r="H168" s="1574"/>
      <c r="I168" s="1574"/>
      <c r="J168" s="1412">
        <v>235659.59</v>
      </c>
      <c r="K168" s="1412">
        <v>0</v>
      </c>
      <c r="L168" s="1412">
        <v>2858.69</v>
      </c>
      <c r="M168" s="1575">
        <v>0</v>
      </c>
      <c r="N168" s="1575"/>
      <c r="O168" s="1575">
        <v>238518.28</v>
      </c>
      <c r="P168" s="1575"/>
      <c r="Q168" s="1575">
        <v>0</v>
      </c>
      <c r="R168" s="1575"/>
      <c r="S168" s="1575"/>
      <c r="T168" s="1575"/>
      <c r="U168" s="1575"/>
    </row>
    <row r="169" spans="1:23" ht="10.9" customHeight="1">
      <c r="A169" s="1574" t="s">
        <v>1322</v>
      </c>
      <c r="B169" s="1574"/>
      <c r="C169" s="1574" t="s">
        <v>1419</v>
      </c>
      <c r="D169" s="1574"/>
      <c r="E169" s="1574"/>
      <c r="F169" s="1574" t="s">
        <v>2029</v>
      </c>
      <c r="G169" s="1574"/>
      <c r="H169" s="1574"/>
      <c r="I169" s="1574"/>
      <c r="J169" s="1412">
        <v>4019.14</v>
      </c>
      <c r="K169" s="1412">
        <v>0</v>
      </c>
      <c r="L169" s="1412">
        <v>2348.73</v>
      </c>
      <c r="M169" s="1575">
        <v>0</v>
      </c>
      <c r="N169" s="1575"/>
      <c r="O169" s="1575">
        <v>6367.87</v>
      </c>
      <c r="P169" s="1575"/>
      <c r="Q169" s="1575">
        <v>0</v>
      </c>
      <c r="R169" s="1575"/>
      <c r="S169" s="1575"/>
      <c r="T169" s="1575"/>
      <c r="U169" s="1575"/>
    </row>
    <row r="170" spans="1:23" ht="10.9" customHeight="1">
      <c r="A170" s="1574" t="s">
        <v>1322</v>
      </c>
      <c r="B170" s="1574"/>
      <c r="C170" s="1574" t="s">
        <v>1420</v>
      </c>
      <c r="D170" s="1574"/>
      <c r="E170" s="1574"/>
      <c r="F170" s="1574" t="s">
        <v>2030</v>
      </c>
      <c r="G170" s="1574"/>
      <c r="H170" s="1574"/>
      <c r="I170" s="1574"/>
      <c r="J170" s="1412">
        <v>0</v>
      </c>
      <c r="K170" s="1412">
        <v>0</v>
      </c>
      <c r="L170" s="1412">
        <v>0</v>
      </c>
      <c r="M170" s="1575">
        <v>0</v>
      </c>
      <c r="N170" s="1575"/>
      <c r="O170" s="1575">
        <v>0</v>
      </c>
      <c r="P170" s="1575"/>
      <c r="Q170" s="1575">
        <v>0</v>
      </c>
      <c r="R170" s="1575"/>
      <c r="S170" s="1575"/>
      <c r="T170" s="1575"/>
      <c r="U170" s="1575"/>
    </row>
    <row r="171" spans="1:23" ht="10.9" customHeight="1">
      <c r="A171" s="1574" t="s">
        <v>1322</v>
      </c>
      <c r="B171" s="1574"/>
      <c r="C171" s="1574" t="s">
        <v>1421</v>
      </c>
      <c r="D171" s="1574"/>
      <c r="E171" s="1574"/>
      <c r="F171" s="1574" t="s">
        <v>2031</v>
      </c>
      <c r="G171" s="1574"/>
      <c r="H171" s="1574"/>
      <c r="I171" s="1574"/>
      <c r="J171" s="1412">
        <v>0</v>
      </c>
      <c r="K171" s="1412">
        <v>0</v>
      </c>
      <c r="L171" s="1412">
        <v>46657.85</v>
      </c>
      <c r="M171" s="1575">
        <v>46657.85</v>
      </c>
      <c r="N171" s="1575"/>
      <c r="O171" s="1575">
        <v>0</v>
      </c>
      <c r="P171" s="1575"/>
      <c r="Q171" s="1575">
        <v>0</v>
      </c>
      <c r="R171" s="1575"/>
      <c r="S171" s="1575"/>
      <c r="T171" s="1575"/>
      <c r="U171" s="1575"/>
    </row>
    <row r="172" spans="1:23" ht="10.9" customHeight="1">
      <c r="A172" s="1574" t="s">
        <v>1322</v>
      </c>
      <c r="B172" s="1574"/>
      <c r="C172" s="1574" t="s">
        <v>1422</v>
      </c>
      <c r="D172" s="1574"/>
      <c r="E172" s="1574"/>
      <c r="F172" s="1574" t="s">
        <v>2032</v>
      </c>
      <c r="G172" s="1574"/>
      <c r="H172" s="1574"/>
      <c r="I172" s="1574"/>
      <c r="J172" s="1412">
        <v>0</v>
      </c>
      <c r="K172" s="1412">
        <v>0</v>
      </c>
      <c r="L172" s="1412">
        <v>9370.76</v>
      </c>
      <c r="M172" s="1575">
        <v>9370.76</v>
      </c>
      <c r="N172" s="1575"/>
      <c r="O172" s="1575">
        <v>0</v>
      </c>
      <c r="P172" s="1575"/>
      <c r="Q172" s="1575">
        <v>0</v>
      </c>
      <c r="R172" s="1575"/>
      <c r="S172" s="1575"/>
      <c r="T172" s="1575"/>
      <c r="U172" s="1575"/>
    </row>
    <row r="173" spans="1:23" ht="10.9" customHeight="1">
      <c r="A173" s="1574" t="s">
        <v>1322</v>
      </c>
      <c r="B173" s="1574"/>
      <c r="C173" s="1574" t="s">
        <v>1423</v>
      </c>
      <c r="D173" s="1574"/>
      <c r="E173" s="1574"/>
      <c r="F173" s="1574" t="s">
        <v>2033</v>
      </c>
      <c r="G173" s="1574"/>
      <c r="H173" s="1574"/>
      <c r="I173" s="1574"/>
      <c r="J173" s="1412">
        <v>0</v>
      </c>
      <c r="K173" s="1412">
        <v>0</v>
      </c>
      <c r="L173" s="1412">
        <v>23297.03</v>
      </c>
      <c r="M173" s="1575">
        <v>23297.03</v>
      </c>
      <c r="N173" s="1575"/>
      <c r="O173" s="1575">
        <v>0</v>
      </c>
      <c r="P173" s="1575"/>
      <c r="Q173" s="1575">
        <v>0</v>
      </c>
      <c r="R173" s="1575"/>
      <c r="S173" s="1575"/>
      <c r="T173" s="1575"/>
      <c r="U173" s="1575"/>
    </row>
    <row r="174" spans="1:23" ht="10.9" customHeight="1">
      <c r="A174" s="1574" t="s">
        <v>1322</v>
      </c>
      <c r="B174" s="1574"/>
      <c r="C174" s="1574" t="s">
        <v>1424</v>
      </c>
      <c r="D174" s="1574"/>
      <c r="E174" s="1574"/>
      <c r="F174" s="1574" t="s">
        <v>2035</v>
      </c>
      <c r="G174" s="1574"/>
      <c r="H174" s="1574"/>
      <c r="I174" s="1574"/>
      <c r="J174" s="1412">
        <v>827.88</v>
      </c>
      <c r="K174" s="1412">
        <v>0</v>
      </c>
      <c r="L174" s="1412">
        <v>460.91</v>
      </c>
      <c r="M174" s="1575">
        <v>460.91</v>
      </c>
      <c r="N174" s="1575"/>
      <c r="O174" s="1575">
        <v>827.88</v>
      </c>
      <c r="P174" s="1575"/>
      <c r="Q174" s="1575">
        <v>0</v>
      </c>
      <c r="R174" s="1575"/>
      <c r="S174" s="1575"/>
      <c r="T174" s="1575"/>
      <c r="U174" s="1575"/>
    </row>
    <row r="175" spans="1:23" ht="10.9" customHeight="1">
      <c r="A175" s="1574" t="s">
        <v>1322</v>
      </c>
      <c r="B175" s="1574"/>
      <c r="C175" s="1574" t="s">
        <v>1425</v>
      </c>
      <c r="D175" s="1574"/>
      <c r="E175" s="1574"/>
      <c r="F175" s="1574" t="s">
        <v>2036</v>
      </c>
      <c r="G175" s="1574"/>
      <c r="H175" s="1574"/>
      <c r="I175" s="1574"/>
      <c r="J175" s="1412">
        <v>6137.71</v>
      </c>
      <c r="K175" s="1412">
        <v>0</v>
      </c>
      <c r="L175" s="1412">
        <v>6873.38</v>
      </c>
      <c r="M175" s="1575">
        <v>13011.09</v>
      </c>
      <c r="N175" s="1575"/>
      <c r="O175" s="1575">
        <v>0</v>
      </c>
      <c r="P175" s="1575"/>
      <c r="Q175" s="1575">
        <v>0</v>
      </c>
      <c r="R175" s="1575"/>
      <c r="S175" s="1575"/>
      <c r="T175" s="1575"/>
      <c r="U175" s="1575"/>
    </row>
    <row r="176" spans="1:23" ht="10.9" customHeight="1">
      <c r="A176" s="1574" t="s">
        <v>1322</v>
      </c>
      <c r="B176" s="1574"/>
      <c r="C176" s="1574" t="s">
        <v>1426</v>
      </c>
      <c r="D176" s="1574"/>
      <c r="E176" s="1574"/>
      <c r="F176" s="1574" t="s">
        <v>2037</v>
      </c>
      <c r="G176" s="1574"/>
      <c r="H176" s="1574"/>
      <c r="I176" s="1574"/>
      <c r="J176" s="1412">
        <v>2539.2800000000002</v>
      </c>
      <c r="K176" s="1412">
        <v>0</v>
      </c>
      <c r="L176" s="1412">
        <v>3263.14</v>
      </c>
      <c r="M176" s="1575">
        <v>0</v>
      </c>
      <c r="N176" s="1575"/>
      <c r="O176" s="1575">
        <v>5802.42</v>
      </c>
      <c r="P176" s="1575"/>
      <c r="Q176" s="1575">
        <v>0</v>
      </c>
      <c r="R176" s="1575"/>
      <c r="S176" s="1575"/>
      <c r="T176" s="1575"/>
      <c r="U176" s="1575"/>
    </row>
    <row r="177" spans="1:21" ht="10.9" customHeight="1">
      <c r="A177" s="1574" t="s">
        <v>1322</v>
      </c>
      <c r="B177" s="1574"/>
      <c r="C177" s="1574" t="s">
        <v>1427</v>
      </c>
      <c r="D177" s="1574"/>
      <c r="E177" s="1574"/>
      <c r="F177" s="1574" t="s">
        <v>2038</v>
      </c>
      <c r="G177" s="1574"/>
      <c r="H177" s="1574"/>
      <c r="I177" s="1574"/>
      <c r="J177" s="1412">
        <v>1495.09</v>
      </c>
      <c r="K177" s="1412">
        <v>0</v>
      </c>
      <c r="L177" s="1412">
        <v>1421.37</v>
      </c>
      <c r="M177" s="1575">
        <v>2916.46</v>
      </c>
      <c r="N177" s="1575"/>
      <c r="O177" s="1575">
        <v>0</v>
      </c>
      <c r="P177" s="1575"/>
      <c r="Q177" s="1575">
        <v>0</v>
      </c>
      <c r="R177" s="1575"/>
      <c r="S177" s="1575"/>
      <c r="T177" s="1575"/>
      <c r="U177" s="1575"/>
    </row>
    <row r="178" spans="1:21" ht="10.9" customHeight="1">
      <c r="A178" s="1574" t="s">
        <v>1322</v>
      </c>
      <c r="B178" s="1574"/>
      <c r="C178" s="1574" t="s">
        <v>6662</v>
      </c>
      <c r="D178" s="1574"/>
      <c r="E178" s="1574"/>
      <c r="F178" s="1574" t="s">
        <v>6663</v>
      </c>
      <c r="G178" s="1574"/>
      <c r="H178" s="1574"/>
      <c r="I178" s="1574"/>
      <c r="J178" s="1412">
        <v>4976.08</v>
      </c>
      <c r="K178" s="1412">
        <v>0</v>
      </c>
      <c r="L178" s="1412">
        <v>0</v>
      </c>
      <c r="M178" s="1575">
        <v>0</v>
      </c>
      <c r="N178" s="1575"/>
      <c r="O178" s="1575">
        <v>4976.08</v>
      </c>
      <c r="P178" s="1575"/>
      <c r="Q178" s="1575">
        <v>0</v>
      </c>
      <c r="R178" s="1575"/>
      <c r="S178" s="1575"/>
      <c r="T178" s="1575"/>
      <c r="U178" s="1575"/>
    </row>
    <row r="179" spans="1:21" ht="10.9" customHeight="1">
      <c r="A179" s="1574" t="s">
        <v>1322</v>
      </c>
      <c r="B179" s="1574"/>
      <c r="C179" s="1574" t="s">
        <v>1428</v>
      </c>
      <c r="D179" s="1574"/>
      <c r="E179" s="1574"/>
      <c r="F179" s="1574" t="s">
        <v>1833</v>
      </c>
      <c r="G179" s="1574"/>
      <c r="H179" s="1574"/>
      <c r="I179" s="1574"/>
      <c r="J179" s="1412">
        <v>24956.51</v>
      </c>
      <c r="K179" s="1412">
        <v>0</v>
      </c>
      <c r="L179" s="1412">
        <v>0</v>
      </c>
      <c r="M179" s="1575">
        <v>0</v>
      </c>
      <c r="N179" s="1575"/>
      <c r="O179" s="1575">
        <v>24956.51</v>
      </c>
      <c r="P179" s="1575"/>
      <c r="Q179" s="1575">
        <v>0</v>
      </c>
      <c r="R179" s="1575"/>
      <c r="S179" s="1575"/>
      <c r="T179" s="1575"/>
      <c r="U179" s="1575"/>
    </row>
    <row r="180" spans="1:21" ht="10.9" customHeight="1">
      <c r="A180" s="1574" t="s">
        <v>1322</v>
      </c>
      <c r="B180" s="1574"/>
      <c r="C180" s="1574" t="s">
        <v>1429</v>
      </c>
      <c r="D180" s="1574"/>
      <c r="E180" s="1574"/>
      <c r="F180" s="1574" t="s">
        <v>2039</v>
      </c>
      <c r="G180" s="1574"/>
      <c r="H180" s="1574"/>
      <c r="I180" s="1574"/>
      <c r="J180" s="1412">
        <v>0</v>
      </c>
      <c r="K180" s="1412">
        <v>0</v>
      </c>
      <c r="L180" s="1412">
        <v>2666.69</v>
      </c>
      <c r="M180" s="1575">
        <v>2666.69</v>
      </c>
      <c r="N180" s="1575"/>
      <c r="O180" s="1575">
        <v>0</v>
      </c>
      <c r="P180" s="1575"/>
      <c r="Q180" s="1575">
        <v>0</v>
      </c>
      <c r="R180" s="1575"/>
      <c r="S180" s="1575"/>
      <c r="T180" s="1575"/>
      <c r="U180" s="1575"/>
    </row>
    <row r="181" spans="1:21" ht="10.9" customHeight="1">
      <c r="A181" s="1574" t="s">
        <v>1322</v>
      </c>
      <c r="B181" s="1574"/>
      <c r="C181" s="1574" t="s">
        <v>1831</v>
      </c>
      <c r="D181" s="1574"/>
      <c r="E181" s="1574"/>
      <c r="F181" s="1574" t="s">
        <v>2040</v>
      </c>
      <c r="G181" s="1574"/>
      <c r="H181" s="1574"/>
      <c r="I181" s="1574"/>
      <c r="J181" s="1412">
        <v>0</v>
      </c>
      <c r="K181" s="1412">
        <v>0</v>
      </c>
      <c r="L181" s="1412">
        <v>833.57</v>
      </c>
      <c r="M181" s="1575">
        <v>833.57</v>
      </c>
      <c r="N181" s="1575"/>
      <c r="O181" s="1575">
        <v>0</v>
      </c>
      <c r="P181" s="1575"/>
      <c r="Q181" s="1575">
        <v>0</v>
      </c>
      <c r="R181" s="1575"/>
      <c r="S181" s="1575"/>
      <c r="T181" s="1575"/>
      <c r="U181" s="1575"/>
    </row>
    <row r="182" spans="1:21" ht="19.149999999999999" customHeight="1">
      <c r="A182" s="1574" t="s">
        <v>1322</v>
      </c>
      <c r="B182" s="1574"/>
      <c r="C182" s="1574" t="s">
        <v>1430</v>
      </c>
      <c r="D182" s="1574"/>
      <c r="E182" s="1574"/>
      <c r="F182" s="1574" t="s">
        <v>2041</v>
      </c>
      <c r="G182" s="1574"/>
      <c r="H182" s="1574"/>
      <c r="I182" s="1574"/>
      <c r="J182" s="1412">
        <v>123532.77</v>
      </c>
      <c r="K182" s="1412">
        <v>0</v>
      </c>
      <c r="L182" s="1412">
        <v>0</v>
      </c>
      <c r="M182" s="1575">
        <v>123532.77</v>
      </c>
      <c r="N182" s="1575"/>
      <c r="O182" s="1575">
        <v>0</v>
      </c>
      <c r="P182" s="1575"/>
      <c r="Q182" s="1575">
        <v>0</v>
      </c>
      <c r="R182" s="1575"/>
      <c r="S182" s="1575"/>
      <c r="T182" s="1575"/>
      <c r="U182" s="1575"/>
    </row>
    <row r="183" spans="1:21" ht="10.9" customHeight="1">
      <c r="A183" s="1574" t="s">
        <v>1322</v>
      </c>
      <c r="B183" s="1574"/>
      <c r="C183" s="1574" t="s">
        <v>1431</v>
      </c>
      <c r="D183" s="1574"/>
      <c r="E183" s="1574"/>
      <c r="F183" s="1574" t="s">
        <v>2042</v>
      </c>
      <c r="G183" s="1574"/>
      <c r="H183" s="1574"/>
      <c r="I183" s="1574"/>
      <c r="J183" s="1412">
        <v>0</v>
      </c>
      <c r="K183" s="1412">
        <v>0</v>
      </c>
      <c r="L183" s="1412">
        <v>824.62</v>
      </c>
      <c r="M183" s="1575">
        <v>824.62</v>
      </c>
      <c r="N183" s="1575"/>
      <c r="O183" s="1575">
        <v>0</v>
      </c>
      <c r="P183" s="1575"/>
      <c r="Q183" s="1575">
        <v>0</v>
      </c>
      <c r="R183" s="1575"/>
      <c r="S183" s="1575"/>
      <c r="T183" s="1575"/>
      <c r="U183" s="1575"/>
    </row>
    <row r="184" spans="1:21" ht="10.9" customHeight="1">
      <c r="A184" s="1574" t="s">
        <v>1322</v>
      </c>
      <c r="B184" s="1574"/>
      <c r="C184" s="1574" t="s">
        <v>1432</v>
      </c>
      <c r="D184" s="1574"/>
      <c r="E184" s="1574"/>
      <c r="F184" s="1574" t="s">
        <v>2043</v>
      </c>
      <c r="G184" s="1574"/>
      <c r="H184" s="1574"/>
      <c r="I184" s="1574"/>
      <c r="J184" s="1412">
        <v>128656.82</v>
      </c>
      <c r="K184" s="1412">
        <v>0</v>
      </c>
      <c r="L184" s="1412">
        <v>62648.59</v>
      </c>
      <c r="M184" s="1575">
        <v>61996.95</v>
      </c>
      <c r="N184" s="1575"/>
      <c r="O184" s="1575">
        <v>129308.46</v>
      </c>
      <c r="P184" s="1575"/>
      <c r="Q184" s="1575">
        <v>0</v>
      </c>
      <c r="R184" s="1575"/>
      <c r="S184" s="1575"/>
      <c r="T184" s="1575"/>
      <c r="U184" s="1575"/>
    </row>
    <row r="185" spans="1:21" ht="10.9" customHeight="1">
      <c r="A185" s="1574" t="s">
        <v>1322</v>
      </c>
      <c r="B185" s="1574"/>
      <c r="C185" s="1574" t="s">
        <v>1433</v>
      </c>
      <c r="D185" s="1574"/>
      <c r="E185" s="1574"/>
      <c r="F185" s="1574" t="s">
        <v>2044</v>
      </c>
      <c r="G185" s="1574"/>
      <c r="H185" s="1574"/>
      <c r="I185" s="1574"/>
      <c r="J185" s="1412">
        <v>19560.7</v>
      </c>
      <c r="K185" s="1412">
        <v>0</v>
      </c>
      <c r="L185" s="1412">
        <v>5662.4</v>
      </c>
      <c r="M185" s="1575">
        <v>8493.6</v>
      </c>
      <c r="N185" s="1575"/>
      <c r="O185" s="1575">
        <v>16729.5</v>
      </c>
      <c r="P185" s="1575"/>
      <c r="Q185" s="1575">
        <v>0</v>
      </c>
      <c r="R185" s="1575"/>
      <c r="S185" s="1575"/>
      <c r="T185" s="1575"/>
      <c r="U185" s="1575"/>
    </row>
    <row r="186" spans="1:21" ht="10.9" customHeight="1">
      <c r="A186" s="1574" t="s">
        <v>1322</v>
      </c>
      <c r="B186" s="1574"/>
      <c r="C186" s="1574" t="s">
        <v>1434</v>
      </c>
      <c r="D186" s="1574"/>
      <c r="E186" s="1574"/>
      <c r="F186" s="1574" t="s">
        <v>1838</v>
      </c>
      <c r="G186" s="1574"/>
      <c r="H186" s="1574"/>
      <c r="I186" s="1574"/>
      <c r="J186" s="1412">
        <v>0</v>
      </c>
      <c r="K186" s="1412">
        <v>0</v>
      </c>
      <c r="L186" s="1412">
        <v>2793.29</v>
      </c>
      <c r="M186" s="1575">
        <v>0</v>
      </c>
      <c r="N186" s="1575"/>
      <c r="O186" s="1575">
        <v>2793.29</v>
      </c>
      <c r="P186" s="1575"/>
      <c r="Q186" s="1575">
        <v>0</v>
      </c>
      <c r="R186" s="1575"/>
      <c r="S186" s="1575"/>
      <c r="T186" s="1575"/>
      <c r="U186" s="1575"/>
    </row>
    <row r="187" spans="1:21" ht="10.9" customHeight="1">
      <c r="A187" s="1574" t="s">
        <v>1322</v>
      </c>
      <c r="B187" s="1574"/>
      <c r="C187" s="1574" t="s">
        <v>1435</v>
      </c>
      <c r="D187" s="1574"/>
      <c r="E187" s="1574"/>
      <c r="F187" s="1574" t="s">
        <v>2045</v>
      </c>
      <c r="G187" s="1574"/>
      <c r="H187" s="1574"/>
      <c r="I187" s="1574"/>
      <c r="J187" s="1412">
        <v>841.95</v>
      </c>
      <c r="K187" s="1412">
        <v>0</v>
      </c>
      <c r="L187" s="1412">
        <v>510.4</v>
      </c>
      <c r="M187" s="1575">
        <v>865.82</v>
      </c>
      <c r="N187" s="1575"/>
      <c r="O187" s="1575">
        <v>486.53</v>
      </c>
      <c r="P187" s="1575"/>
      <c r="Q187" s="1575">
        <v>0</v>
      </c>
      <c r="R187" s="1575"/>
      <c r="S187" s="1575"/>
      <c r="T187" s="1575"/>
      <c r="U187" s="1575"/>
    </row>
    <row r="188" spans="1:21" ht="10.9" customHeight="1">
      <c r="A188" s="1574" t="s">
        <v>1322</v>
      </c>
      <c r="B188" s="1574"/>
      <c r="C188" s="1574" t="s">
        <v>1436</v>
      </c>
      <c r="D188" s="1574"/>
      <c r="E188" s="1574"/>
      <c r="F188" s="1574" t="s">
        <v>2046</v>
      </c>
      <c r="G188" s="1574"/>
      <c r="H188" s="1574"/>
      <c r="I188" s="1574"/>
      <c r="J188" s="1412">
        <v>0</v>
      </c>
      <c r="K188" s="1412">
        <v>0</v>
      </c>
      <c r="L188" s="1412">
        <v>879.57</v>
      </c>
      <c r="M188" s="1575">
        <v>879.57</v>
      </c>
      <c r="N188" s="1575"/>
      <c r="O188" s="1575">
        <v>0</v>
      </c>
      <c r="P188" s="1575"/>
      <c r="Q188" s="1575">
        <v>0</v>
      </c>
      <c r="R188" s="1575"/>
      <c r="S188" s="1575"/>
      <c r="T188" s="1575"/>
      <c r="U188" s="1575"/>
    </row>
    <row r="189" spans="1:21" ht="10.9" customHeight="1">
      <c r="A189" s="1574" t="s">
        <v>1322</v>
      </c>
      <c r="B189" s="1574"/>
      <c r="C189" s="1574" t="s">
        <v>2841</v>
      </c>
      <c r="D189" s="1574"/>
      <c r="E189" s="1574"/>
      <c r="F189" s="1574" t="s">
        <v>2842</v>
      </c>
      <c r="G189" s="1574"/>
      <c r="H189" s="1574"/>
      <c r="I189" s="1574"/>
      <c r="J189" s="1412">
        <v>2870.78</v>
      </c>
      <c r="K189" s="1412">
        <v>0</v>
      </c>
      <c r="L189" s="1412">
        <v>3240.24</v>
      </c>
      <c r="M189" s="1575">
        <v>4847.68</v>
      </c>
      <c r="N189" s="1575"/>
      <c r="O189" s="1575">
        <v>1263.3399999999999</v>
      </c>
      <c r="P189" s="1575"/>
      <c r="Q189" s="1575">
        <v>0</v>
      </c>
      <c r="R189" s="1575"/>
      <c r="S189" s="1575"/>
      <c r="T189" s="1575"/>
      <c r="U189" s="1575"/>
    </row>
    <row r="190" spans="1:21" ht="10.9" customHeight="1">
      <c r="A190" s="1574" t="s">
        <v>1322</v>
      </c>
      <c r="B190" s="1574"/>
      <c r="C190" s="1574" t="s">
        <v>1437</v>
      </c>
      <c r="D190" s="1574"/>
      <c r="E190" s="1574"/>
      <c r="F190" s="1574" t="s">
        <v>2047</v>
      </c>
      <c r="G190" s="1574"/>
      <c r="H190" s="1574"/>
      <c r="I190" s="1574"/>
      <c r="J190" s="1412">
        <v>6899.05</v>
      </c>
      <c r="K190" s="1412">
        <v>0</v>
      </c>
      <c r="L190" s="1412">
        <v>0</v>
      </c>
      <c r="M190" s="1575">
        <v>0</v>
      </c>
      <c r="N190" s="1575"/>
      <c r="O190" s="1575">
        <v>6899.05</v>
      </c>
      <c r="P190" s="1575"/>
      <c r="Q190" s="1575">
        <v>0</v>
      </c>
      <c r="R190" s="1575"/>
      <c r="S190" s="1575"/>
      <c r="T190" s="1575"/>
      <c r="U190" s="1575"/>
    </row>
    <row r="191" spans="1:21" ht="10.9" customHeight="1">
      <c r="A191" s="1574" t="s">
        <v>1322</v>
      </c>
      <c r="B191" s="1574"/>
      <c r="C191" s="1574" t="s">
        <v>1438</v>
      </c>
      <c r="D191" s="1574"/>
      <c r="E191" s="1574"/>
      <c r="F191" s="1574" t="s">
        <v>2048</v>
      </c>
      <c r="G191" s="1574"/>
      <c r="H191" s="1574"/>
      <c r="I191" s="1574"/>
      <c r="J191" s="1412">
        <v>0</v>
      </c>
      <c r="K191" s="1412">
        <v>0</v>
      </c>
      <c r="L191" s="1412">
        <v>0</v>
      </c>
      <c r="M191" s="1575">
        <v>0</v>
      </c>
      <c r="N191" s="1575"/>
      <c r="O191" s="1575">
        <v>0</v>
      </c>
      <c r="P191" s="1575"/>
      <c r="Q191" s="1575">
        <v>0</v>
      </c>
      <c r="R191" s="1575"/>
      <c r="S191" s="1575"/>
      <c r="T191" s="1575"/>
      <c r="U191" s="1575"/>
    </row>
    <row r="192" spans="1:21" ht="10.9" customHeight="1">
      <c r="A192" s="1574" t="s">
        <v>1322</v>
      </c>
      <c r="B192" s="1574"/>
      <c r="C192" s="1574" t="s">
        <v>1439</v>
      </c>
      <c r="D192" s="1574"/>
      <c r="E192" s="1574"/>
      <c r="F192" s="1574" t="s">
        <v>2049</v>
      </c>
      <c r="G192" s="1574"/>
      <c r="H192" s="1574"/>
      <c r="I192" s="1574"/>
      <c r="J192" s="1412">
        <v>6900.94</v>
      </c>
      <c r="K192" s="1412">
        <v>0</v>
      </c>
      <c r="L192" s="1412">
        <v>6900.94</v>
      </c>
      <c r="M192" s="1575">
        <v>0</v>
      </c>
      <c r="N192" s="1575"/>
      <c r="O192" s="1575">
        <v>13801.88</v>
      </c>
      <c r="P192" s="1575"/>
      <c r="Q192" s="1575">
        <v>0</v>
      </c>
      <c r="R192" s="1575"/>
      <c r="S192" s="1575"/>
      <c r="T192" s="1575"/>
      <c r="U192" s="1575"/>
    </row>
    <row r="193" spans="1:23" ht="10.9" customHeight="1">
      <c r="A193" s="1574" t="s">
        <v>1322</v>
      </c>
      <c r="B193" s="1574"/>
      <c r="C193" s="1574" t="s">
        <v>1440</v>
      </c>
      <c r="D193" s="1574"/>
      <c r="E193" s="1574"/>
      <c r="F193" s="1574" t="s">
        <v>2050</v>
      </c>
      <c r="G193" s="1574"/>
      <c r="H193" s="1574"/>
      <c r="I193" s="1574"/>
      <c r="J193" s="1412">
        <v>31470.44</v>
      </c>
      <c r="K193" s="1412">
        <v>0</v>
      </c>
      <c r="L193" s="1412">
        <v>27603.78</v>
      </c>
      <c r="M193" s="1575">
        <v>27603.78</v>
      </c>
      <c r="N193" s="1575"/>
      <c r="O193" s="1575">
        <v>31470.44</v>
      </c>
      <c r="P193" s="1575"/>
      <c r="Q193" s="1575">
        <v>0</v>
      </c>
      <c r="R193" s="1575"/>
      <c r="S193" s="1575"/>
      <c r="T193" s="1575"/>
      <c r="U193" s="1575"/>
    </row>
    <row r="194" spans="1:23" ht="10.9" customHeight="1">
      <c r="A194" s="1574" t="s">
        <v>1322</v>
      </c>
      <c r="B194" s="1574"/>
      <c r="C194" s="1574" t="s">
        <v>2843</v>
      </c>
      <c r="D194" s="1574"/>
      <c r="E194" s="1574"/>
      <c r="F194" s="1574" t="s">
        <v>2844</v>
      </c>
      <c r="G194" s="1574"/>
      <c r="H194" s="1574"/>
      <c r="I194" s="1574"/>
      <c r="J194" s="1412">
        <v>7507.01</v>
      </c>
      <c r="K194" s="1412">
        <v>0</v>
      </c>
      <c r="L194" s="1412">
        <v>4945.68</v>
      </c>
      <c r="M194" s="1575">
        <v>9891.36</v>
      </c>
      <c r="N194" s="1575"/>
      <c r="O194" s="1575">
        <v>2561.33</v>
      </c>
      <c r="P194" s="1575"/>
      <c r="Q194" s="1575">
        <v>0</v>
      </c>
      <c r="R194" s="1575"/>
      <c r="S194" s="1575"/>
      <c r="T194" s="1575"/>
      <c r="U194" s="1575"/>
    </row>
    <row r="195" spans="1:23" ht="10.9" customHeight="1">
      <c r="A195" s="1574" t="s">
        <v>1322</v>
      </c>
      <c r="B195" s="1574"/>
      <c r="C195" s="1574" t="s">
        <v>5953</v>
      </c>
      <c r="D195" s="1574"/>
      <c r="E195" s="1574"/>
      <c r="F195" s="1574" t="s">
        <v>5954</v>
      </c>
      <c r="G195" s="1574"/>
      <c r="H195" s="1574"/>
      <c r="I195" s="1574"/>
      <c r="J195" s="1412">
        <v>0</v>
      </c>
      <c r="K195" s="1412">
        <v>0</v>
      </c>
      <c r="L195" s="1412">
        <v>26499.63</v>
      </c>
      <c r="M195" s="1575">
        <v>26499.63</v>
      </c>
      <c r="N195" s="1575"/>
      <c r="O195" s="1575">
        <v>0</v>
      </c>
      <c r="P195" s="1575"/>
      <c r="Q195" s="1575">
        <v>0</v>
      </c>
      <c r="R195" s="1575"/>
      <c r="S195" s="1575"/>
      <c r="T195" s="1575"/>
      <c r="U195" s="1575"/>
    </row>
    <row r="196" spans="1:23" ht="10.9" customHeight="1">
      <c r="A196" s="1574" t="s">
        <v>1322</v>
      </c>
      <c r="B196" s="1574"/>
      <c r="C196" s="1574" t="s">
        <v>6313</v>
      </c>
      <c r="D196" s="1574"/>
      <c r="E196" s="1574"/>
      <c r="F196" s="1574" t="s">
        <v>6314</v>
      </c>
      <c r="G196" s="1574"/>
      <c r="H196" s="1574"/>
      <c r="I196" s="1574"/>
      <c r="J196" s="1412">
        <v>0</v>
      </c>
      <c r="K196" s="1412">
        <v>0</v>
      </c>
      <c r="L196" s="1412">
        <v>11396.83</v>
      </c>
      <c r="M196" s="1575">
        <v>11396.83</v>
      </c>
      <c r="N196" s="1575"/>
      <c r="O196" s="1575">
        <v>0</v>
      </c>
      <c r="P196" s="1575"/>
      <c r="Q196" s="1575">
        <v>0</v>
      </c>
      <c r="R196" s="1575"/>
      <c r="S196" s="1575"/>
      <c r="T196" s="1575"/>
      <c r="U196" s="1575"/>
    </row>
    <row r="197" spans="1:23" ht="10.9" customHeight="1">
      <c r="A197" s="1574" t="s">
        <v>1322</v>
      </c>
      <c r="B197" s="1574"/>
      <c r="C197" s="1574" t="s">
        <v>1441</v>
      </c>
      <c r="D197" s="1574"/>
      <c r="E197" s="1574"/>
      <c r="F197" s="1574" t="s">
        <v>2051</v>
      </c>
      <c r="G197" s="1574"/>
      <c r="H197" s="1574"/>
      <c r="I197" s="1574"/>
      <c r="J197" s="1412">
        <v>0</v>
      </c>
      <c r="K197" s="1412">
        <v>0</v>
      </c>
      <c r="L197" s="1412">
        <v>1652.27</v>
      </c>
      <c r="M197" s="1575">
        <v>1652.27</v>
      </c>
      <c r="N197" s="1575"/>
      <c r="O197" s="1575">
        <v>0</v>
      </c>
      <c r="P197" s="1575"/>
      <c r="Q197" s="1575">
        <v>0</v>
      </c>
      <c r="R197" s="1575"/>
      <c r="S197" s="1575"/>
      <c r="T197" s="1575"/>
      <c r="U197" s="1575"/>
    </row>
    <row r="198" spans="1:23" ht="10.9" customHeight="1">
      <c r="A198" s="1574" t="s">
        <v>1322</v>
      </c>
      <c r="B198" s="1574"/>
      <c r="C198" s="1574" t="s">
        <v>1442</v>
      </c>
      <c r="D198" s="1574"/>
      <c r="E198" s="1574"/>
      <c r="F198" s="1574" t="s">
        <v>2052</v>
      </c>
      <c r="G198" s="1574"/>
      <c r="H198" s="1574"/>
      <c r="I198" s="1574"/>
      <c r="J198" s="1412">
        <v>11489.71</v>
      </c>
      <c r="K198" s="1412">
        <v>0</v>
      </c>
      <c r="L198" s="1412">
        <v>11489.71</v>
      </c>
      <c r="M198" s="1575">
        <v>11489.71</v>
      </c>
      <c r="N198" s="1575"/>
      <c r="O198" s="1575">
        <v>11489.71</v>
      </c>
      <c r="P198" s="1575"/>
      <c r="Q198" s="1575">
        <v>0</v>
      </c>
      <c r="R198" s="1575"/>
      <c r="S198" s="1575"/>
      <c r="T198" s="1575"/>
      <c r="U198" s="1575"/>
    </row>
    <row r="199" spans="1:23" ht="10.9" customHeight="1">
      <c r="A199" s="1574" t="s">
        <v>1322</v>
      </c>
      <c r="B199" s="1574"/>
      <c r="C199" s="1574" t="s">
        <v>6446</v>
      </c>
      <c r="D199" s="1574"/>
      <c r="E199" s="1574"/>
      <c r="F199" s="1574" t="s">
        <v>6447</v>
      </c>
      <c r="G199" s="1574"/>
      <c r="H199" s="1574"/>
      <c r="I199" s="1574"/>
      <c r="J199" s="1412">
        <v>0</v>
      </c>
      <c r="K199" s="1412">
        <v>0</v>
      </c>
      <c r="L199" s="1412">
        <v>0</v>
      </c>
      <c r="M199" s="1575">
        <v>0</v>
      </c>
      <c r="N199" s="1575"/>
      <c r="O199" s="1575">
        <v>0</v>
      </c>
      <c r="P199" s="1575"/>
      <c r="Q199" s="1575">
        <v>0</v>
      </c>
      <c r="R199" s="1575"/>
      <c r="S199" s="1575"/>
      <c r="T199" s="1575"/>
      <c r="U199" s="1575"/>
    </row>
    <row r="200" spans="1:23" ht="10.9" customHeight="1">
      <c r="A200" s="1574" t="s">
        <v>1322</v>
      </c>
      <c r="B200" s="1574"/>
      <c r="C200" s="1574" t="s">
        <v>1443</v>
      </c>
      <c r="D200" s="1574"/>
      <c r="E200" s="1574"/>
      <c r="F200" s="1574" t="s">
        <v>2053</v>
      </c>
      <c r="G200" s="1574"/>
      <c r="H200" s="1574"/>
      <c r="I200" s="1574"/>
      <c r="J200" s="1412">
        <v>1373.07</v>
      </c>
      <c r="K200" s="1412">
        <v>0</v>
      </c>
      <c r="L200" s="1412">
        <v>470.11</v>
      </c>
      <c r="M200" s="1575">
        <v>0</v>
      </c>
      <c r="N200" s="1575"/>
      <c r="O200" s="1575">
        <v>1843.18</v>
      </c>
      <c r="P200" s="1575"/>
      <c r="Q200" s="1575">
        <v>0</v>
      </c>
      <c r="R200" s="1575"/>
      <c r="S200" s="1575"/>
      <c r="T200" s="1575"/>
      <c r="U200" s="1575"/>
    </row>
    <row r="201" spans="1:23" ht="10.9" customHeight="1">
      <c r="A201" s="1574" t="s">
        <v>1322</v>
      </c>
      <c r="B201" s="1574"/>
      <c r="C201" s="1574" t="s">
        <v>1444</v>
      </c>
      <c r="D201" s="1574"/>
      <c r="E201" s="1574"/>
      <c r="F201" s="1574" t="s">
        <v>2053</v>
      </c>
      <c r="G201" s="1574"/>
      <c r="H201" s="1574"/>
      <c r="I201" s="1574"/>
      <c r="J201" s="1412">
        <v>6827.98</v>
      </c>
      <c r="K201" s="1412">
        <v>0</v>
      </c>
      <c r="L201" s="1412">
        <v>2844.39</v>
      </c>
      <c r="M201" s="1575">
        <v>0</v>
      </c>
      <c r="N201" s="1575"/>
      <c r="O201" s="1575">
        <v>9672.3700000000008</v>
      </c>
      <c r="P201" s="1575"/>
      <c r="Q201" s="1575">
        <v>0</v>
      </c>
      <c r="R201" s="1575"/>
      <c r="S201" s="1575"/>
      <c r="T201" s="1575"/>
      <c r="U201" s="1575"/>
    </row>
    <row r="202" spans="1:23" ht="10.9" customHeight="1">
      <c r="A202" s="1574" t="s">
        <v>1322</v>
      </c>
      <c r="B202" s="1574"/>
      <c r="C202" s="1574" t="s">
        <v>1445</v>
      </c>
      <c r="D202" s="1574"/>
      <c r="E202" s="1574"/>
      <c r="F202" s="1574" t="s">
        <v>2054</v>
      </c>
      <c r="G202" s="1574"/>
      <c r="H202" s="1574"/>
      <c r="I202" s="1574"/>
      <c r="J202" s="1412">
        <v>37.450000000000003</v>
      </c>
      <c r="K202" s="1412">
        <v>0</v>
      </c>
      <c r="L202" s="1412">
        <v>0</v>
      </c>
      <c r="M202" s="1575">
        <v>0</v>
      </c>
      <c r="N202" s="1575"/>
      <c r="O202" s="1575">
        <v>37.450000000000003</v>
      </c>
      <c r="P202" s="1575"/>
      <c r="Q202" s="1575">
        <v>0</v>
      </c>
      <c r="R202" s="1575"/>
      <c r="S202" s="1575"/>
      <c r="T202" s="1575"/>
      <c r="U202" s="1575"/>
    </row>
    <row r="203" spans="1:23" ht="10.9" customHeight="1">
      <c r="A203" s="1574" t="s">
        <v>1322</v>
      </c>
      <c r="B203" s="1574"/>
      <c r="C203" s="1574" t="s">
        <v>1446</v>
      </c>
      <c r="D203" s="1574"/>
      <c r="E203" s="1574"/>
      <c r="F203" s="1574" t="s">
        <v>2055</v>
      </c>
      <c r="G203" s="1574"/>
      <c r="H203" s="1574"/>
      <c r="I203" s="1574"/>
      <c r="J203" s="1412">
        <v>0</v>
      </c>
      <c r="K203" s="1412">
        <v>0</v>
      </c>
      <c r="L203" s="1412">
        <v>1273.72</v>
      </c>
      <c r="M203" s="1575">
        <v>1273.72</v>
      </c>
      <c r="N203" s="1575"/>
      <c r="O203" s="1575">
        <v>0</v>
      </c>
      <c r="P203" s="1575"/>
      <c r="Q203" s="1575">
        <v>0</v>
      </c>
      <c r="R203" s="1575"/>
      <c r="S203" s="1575"/>
      <c r="T203" s="1575"/>
      <c r="U203" s="1575"/>
    </row>
    <row r="204" spans="1:23" ht="10.9" customHeight="1">
      <c r="A204" s="1574" t="s">
        <v>1322</v>
      </c>
      <c r="B204" s="1574"/>
      <c r="C204" s="1574" t="s">
        <v>1447</v>
      </c>
      <c r="D204" s="1574"/>
      <c r="E204" s="1574"/>
      <c r="F204" s="1574" t="s">
        <v>2056</v>
      </c>
      <c r="G204" s="1574"/>
      <c r="H204" s="1574"/>
      <c r="I204" s="1574"/>
      <c r="J204" s="1412">
        <v>0</v>
      </c>
      <c r="K204" s="1412">
        <v>0</v>
      </c>
      <c r="L204" s="1412">
        <v>9246.91</v>
      </c>
      <c r="M204" s="1575">
        <v>9246.91</v>
      </c>
      <c r="N204" s="1575"/>
      <c r="O204" s="1575">
        <v>0</v>
      </c>
      <c r="P204" s="1575"/>
      <c r="Q204" s="1575">
        <v>0</v>
      </c>
      <c r="R204" s="1575"/>
      <c r="S204" s="1575"/>
      <c r="T204" s="1575"/>
      <c r="U204" s="1575"/>
    </row>
    <row r="205" spans="1:23" ht="14.1" customHeight="1"/>
    <row r="206" spans="1:23" ht="14.1" customHeight="1">
      <c r="S206" s="1573" t="s">
        <v>2062</v>
      </c>
      <c r="T206" s="1573"/>
      <c r="U206" s="1573"/>
      <c r="V206" s="1573"/>
      <c r="W206" s="1573"/>
    </row>
    <row r="207" spans="1:23" ht="7.15" customHeight="1">
      <c r="C207" s="1586" t="s">
        <v>2987</v>
      </c>
      <c r="D207" s="1586"/>
      <c r="E207" s="1586"/>
      <c r="F207" s="1586"/>
      <c r="G207" s="1586"/>
      <c r="H207" s="1586"/>
      <c r="I207" s="1586"/>
      <c r="J207" s="1586"/>
      <c r="K207" s="1586"/>
      <c r="L207" s="1586"/>
      <c r="M207" s="1586"/>
      <c r="N207" s="1586"/>
      <c r="O207" s="1586"/>
      <c r="P207" s="1586"/>
      <c r="Q207" s="1586"/>
      <c r="R207" s="1586"/>
      <c r="S207" s="1586"/>
      <c r="T207" s="1586"/>
    </row>
    <row r="208" spans="1:23" ht="9.6" customHeight="1">
      <c r="A208" s="1587"/>
      <c r="B208" s="1587"/>
      <c r="C208" s="1587"/>
      <c r="D208" s="1587"/>
      <c r="E208" s="1587"/>
      <c r="F208" s="1587"/>
      <c r="G208" s="1586"/>
      <c r="H208" s="1586"/>
      <c r="I208" s="1586"/>
      <c r="J208" s="1586"/>
      <c r="K208" s="1586"/>
      <c r="L208" s="1586"/>
      <c r="M208" s="1586"/>
      <c r="N208" s="1586"/>
      <c r="O208" s="1586"/>
      <c r="P208" s="1586"/>
      <c r="Q208" s="1586"/>
      <c r="R208" s="1586"/>
      <c r="S208" s="1586"/>
      <c r="T208" s="1586"/>
    </row>
    <row r="209" spans="1:23" ht="13.35" customHeight="1">
      <c r="A209" s="1587"/>
      <c r="B209" s="1587"/>
      <c r="C209" s="1587"/>
      <c r="D209" s="1587"/>
      <c r="E209" s="1587"/>
      <c r="F209" s="1587"/>
      <c r="G209" s="1588" t="s">
        <v>79</v>
      </c>
      <c r="H209" s="1588"/>
      <c r="I209" s="1588"/>
      <c r="J209" s="1588"/>
      <c r="K209" s="1588"/>
      <c r="L209" s="1588"/>
      <c r="M209" s="1588"/>
      <c r="N209" s="1588"/>
      <c r="O209" s="1588"/>
      <c r="P209" s="1588"/>
      <c r="Q209" s="1588"/>
      <c r="R209" s="1588"/>
    </row>
    <row r="210" spans="1:23" ht="5.25" customHeight="1">
      <c r="A210" s="1587"/>
      <c r="B210" s="1587"/>
      <c r="C210" s="1587"/>
      <c r="D210" s="1587"/>
      <c r="E210" s="1587"/>
      <c r="F210" s="1587"/>
      <c r="G210" s="1581" t="s">
        <v>7015</v>
      </c>
      <c r="H210" s="1581"/>
      <c r="I210" s="1581"/>
      <c r="J210" s="1581"/>
      <c r="K210" s="1581"/>
      <c r="L210" s="1581"/>
      <c r="M210" s="1581"/>
      <c r="N210" s="1581"/>
      <c r="O210" s="1581"/>
      <c r="P210" s="1581"/>
      <c r="Q210" s="1581"/>
    </row>
    <row r="211" spans="1:23" ht="8.1" customHeight="1">
      <c r="B211" s="1580" t="s">
        <v>1916</v>
      </c>
      <c r="C211" s="1580"/>
      <c r="D211" s="1580"/>
      <c r="E211" s="1580"/>
      <c r="F211" s="1580"/>
      <c r="G211" s="1580"/>
      <c r="H211" s="1581"/>
      <c r="I211" s="1581"/>
      <c r="J211" s="1581"/>
      <c r="K211" s="1581"/>
      <c r="L211" s="1581"/>
      <c r="M211" s="1581"/>
      <c r="N211" s="1582" t="s">
        <v>5619</v>
      </c>
      <c r="O211" s="1582"/>
      <c r="P211" s="1582"/>
      <c r="Q211" s="1582"/>
      <c r="R211" s="1582"/>
      <c r="S211" s="1582"/>
      <c r="T211" s="1583" t="s">
        <v>7016</v>
      </c>
      <c r="U211" s="1583"/>
      <c r="V211" s="1583"/>
      <c r="W211" s="1583"/>
    </row>
    <row r="212" spans="1:23" ht="6" customHeight="1">
      <c r="B212" s="1580"/>
      <c r="C212" s="1580"/>
      <c r="D212" s="1580"/>
      <c r="E212" s="1580"/>
      <c r="F212" s="1580"/>
      <c r="G212" s="1580"/>
      <c r="H212" s="1584" t="s">
        <v>7017</v>
      </c>
      <c r="I212" s="1584"/>
      <c r="J212" s="1584"/>
      <c r="K212" s="1584"/>
      <c r="L212" s="1584"/>
      <c r="M212" s="1584"/>
      <c r="N212" s="1582"/>
      <c r="O212" s="1582"/>
      <c r="P212" s="1582"/>
      <c r="Q212" s="1582"/>
      <c r="R212" s="1582"/>
      <c r="S212" s="1582"/>
      <c r="T212" s="1583"/>
      <c r="U212" s="1583"/>
      <c r="V212" s="1583"/>
      <c r="W212" s="1583"/>
    </row>
    <row r="213" spans="1:23" ht="7.35" customHeight="1">
      <c r="B213" s="1580" t="s">
        <v>1994</v>
      </c>
      <c r="C213" s="1580"/>
      <c r="D213" s="1580"/>
      <c r="E213" s="1585"/>
      <c r="F213" s="1585"/>
      <c r="G213" s="1585"/>
      <c r="H213" s="1585"/>
      <c r="I213" s="1585"/>
      <c r="J213" s="1585"/>
      <c r="K213" s="1585"/>
      <c r="L213" s="1585"/>
      <c r="M213" s="1585"/>
      <c r="N213" s="1585"/>
      <c r="O213" s="1585"/>
      <c r="P213" s="1585"/>
      <c r="Q213" s="1585"/>
      <c r="R213" s="1582"/>
      <c r="S213" s="1582"/>
      <c r="T213" s="1582" t="s">
        <v>7018</v>
      </c>
      <c r="U213" s="1582"/>
    </row>
    <row r="214" spans="1:23" ht="6.75" customHeight="1">
      <c r="E214" s="1585"/>
      <c r="F214" s="1585"/>
      <c r="G214" s="1585"/>
      <c r="H214" s="1585"/>
      <c r="I214" s="1585"/>
      <c r="J214" s="1585"/>
      <c r="K214" s="1585"/>
      <c r="L214" s="1585"/>
      <c r="M214" s="1585"/>
      <c r="N214" s="1585"/>
      <c r="O214" s="1585"/>
      <c r="P214" s="1585"/>
      <c r="Q214" s="1585"/>
      <c r="R214" s="1582"/>
      <c r="S214" s="1582"/>
      <c r="T214" s="1582"/>
      <c r="U214" s="1582"/>
    </row>
    <row r="215" spans="1:23" ht="10.9" customHeight="1">
      <c r="A215" s="1576"/>
      <c r="B215" s="1576"/>
      <c r="C215" s="1576"/>
      <c r="D215" s="1576"/>
      <c r="E215" s="1576"/>
      <c r="F215" s="1576"/>
      <c r="G215" s="1576"/>
      <c r="H215" s="1576"/>
      <c r="I215" s="1576"/>
      <c r="J215" s="1577" t="s">
        <v>1314</v>
      </c>
      <c r="K215" s="1577"/>
      <c r="L215" s="1577" t="s">
        <v>1315</v>
      </c>
      <c r="M215" s="1577"/>
      <c r="N215" s="1577"/>
      <c r="O215" s="1577" t="s">
        <v>1316</v>
      </c>
      <c r="P215" s="1577"/>
      <c r="Q215" s="1577"/>
      <c r="R215" s="1577"/>
      <c r="S215" s="1577"/>
      <c r="T215" s="1577"/>
      <c r="U215" s="1577"/>
    </row>
    <row r="216" spans="1:23" ht="14.1" customHeight="1">
      <c r="A216" s="1578" t="s">
        <v>1317</v>
      </c>
      <c r="B216" s="1578"/>
      <c r="C216" s="1578" t="s">
        <v>1318</v>
      </c>
      <c r="D216" s="1578"/>
      <c r="E216" s="1578"/>
      <c r="F216" s="1578" t="s">
        <v>1319</v>
      </c>
      <c r="G216" s="1578"/>
      <c r="H216" s="1578"/>
      <c r="I216" s="1578"/>
      <c r="J216" s="1413" t="s">
        <v>1320</v>
      </c>
      <c r="K216" s="1413" t="s">
        <v>1321</v>
      </c>
      <c r="L216" s="1413" t="s">
        <v>1320</v>
      </c>
      <c r="M216" s="1579" t="s">
        <v>1321</v>
      </c>
      <c r="N216" s="1579"/>
      <c r="O216" s="1579" t="s">
        <v>1320</v>
      </c>
      <c r="P216" s="1579"/>
      <c r="Q216" s="1579" t="s">
        <v>1321</v>
      </c>
      <c r="R216" s="1579"/>
      <c r="S216" s="1579"/>
      <c r="T216" s="1579"/>
      <c r="U216" s="1579"/>
    </row>
    <row r="217" spans="1:23" ht="22.5" customHeight="1">
      <c r="A217" s="1574" t="s">
        <v>1322</v>
      </c>
      <c r="B217" s="1574"/>
      <c r="C217" s="1574" t="s">
        <v>1448</v>
      </c>
      <c r="D217" s="1574"/>
      <c r="E217" s="1574"/>
      <c r="F217" s="1574" t="s">
        <v>2057</v>
      </c>
      <c r="G217" s="1574"/>
      <c r="H217" s="1574"/>
      <c r="I217" s="1574"/>
      <c r="J217" s="1412">
        <v>15149.37</v>
      </c>
      <c r="K217" s="1412">
        <v>0</v>
      </c>
      <c r="L217" s="1412">
        <v>3738.26</v>
      </c>
      <c r="M217" s="1575">
        <v>0</v>
      </c>
      <c r="N217" s="1575"/>
      <c r="O217" s="1575">
        <v>18887.63</v>
      </c>
      <c r="P217" s="1575"/>
      <c r="Q217" s="1575">
        <v>0</v>
      </c>
      <c r="R217" s="1575"/>
      <c r="S217" s="1575"/>
      <c r="T217" s="1575"/>
      <c r="U217" s="1575"/>
    </row>
    <row r="218" spans="1:23" ht="19.149999999999999" customHeight="1">
      <c r="A218" s="1574" t="s">
        <v>1322</v>
      </c>
      <c r="B218" s="1574"/>
      <c r="C218" s="1574" t="s">
        <v>6529</v>
      </c>
      <c r="D218" s="1574"/>
      <c r="E218" s="1574"/>
      <c r="F218" s="1574" t="s">
        <v>6530</v>
      </c>
      <c r="G218" s="1574"/>
      <c r="H218" s="1574"/>
      <c r="I218" s="1574"/>
      <c r="J218" s="1412">
        <v>1512.59</v>
      </c>
      <c r="K218" s="1412">
        <v>0</v>
      </c>
      <c r="L218" s="1412">
        <v>161.72999999999999</v>
      </c>
      <c r="M218" s="1575">
        <v>0</v>
      </c>
      <c r="N218" s="1575"/>
      <c r="O218" s="1575">
        <v>1674.32</v>
      </c>
      <c r="P218" s="1575"/>
      <c r="Q218" s="1575">
        <v>0</v>
      </c>
      <c r="R218" s="1575"/>
      <c r="S218" s="1575"/>
      <c r="T218" s="1575"/>
      <c r="U218" s="1575"/>
    </row>
    <row r="219" spans="1:23" ht="19.149999999999999" customHeight="1">
      <c r="A219" s="1574" t="s">
        <v>1322</v>
      </c>
      <c r="B219" s="1574"/>
      <c r="C219" s="1574" t="s">
        <v>1449</v>
      </c>
      <c r="D219" s="1574"/>
      <c r="E219" s="1574"/>
      <c r="F219" s="1574" t="s">
        <v>2058</v>
      </c>
      <c r="G219" s="1574"/>
      <c r="H219" s="1574"/>
      <c r="I219" s="1574"/>
      <c r="J219" s="1412">
        <v>6925.81</v>
      </c>
      <c r="K219" s="1412">
        <v>0</v>
      </c>
      <c r="L219" s="1412">
        <v>4677.59</v>
      </c>
      <c r="M219" s="1575">
        <v>11603.4</v>
      </c>
      <c r="N219" s="1575"/>
      <c r="O219" s="1575">
        <v>0</v>
      </c>
      <c r="P219" s="1575"/>
      <c r="Q219" s="1575">
        <v>0</v>
      </c>
      <c r="R219" s="1575"/>
      <c r="S219" s="1575"/>
      <c r="T219" s="1575"/>
      <c r="U219" s="1575"/>
    </row>
    <row r="220" spans="1:23" ht="10.9" customHeight="1">
      <c r="A220" s="1574" t="s">
        <v>1322</v>
      </c>
      <c r="B220" s="1574"/>
      <c r="C220" s="1574" t="s">
        <v>1450</v>
      </c>
      <c r="D220" s="1574"/>
      <c r="E220" s="1574"/>
      <c r="F220" s="1574" t="s">
        <v>1313</v>
      </c>
      <c r="G220" s="1574"/>
      <c r="H220" s="1574"/>
      <c r="I220" s="1574"/>
      <c r="J220" s="1412">
        <v>0</v>
      </c>
      <c r="K220" s="1412">
        <v>0</v>
      </c>
      <c r="L220" s="1412">
        <v>1152.6600000000001</v>
      </c>
      <c r="M220" s="1575">
        <v>1152.6600000000001</v>
      </c>
      <c r="N220" s="1575"/>
      <c r="O220" s="1575">
        <v>0</v>
      </c>
      <c r="P220" s="1575"/>
      <c r="Q220" s="1575">
        <v>0</v>
      </c>
      <c r="R220" s="1575"/>
      <c r="S220" s="1575"/>
      <c r="T220" s="1575"/>
      <c r="U220" s="1575"/>
    </row>
    <row r="221" spans="1:23" ht="10.9" customHeight="1">
      <c r="A221" s="1574" t="s">
        <v>1322</v>
      </c>
      <c r="B221" s="1574"/>
      <c r="C221" s="1574" t="s">
        <v>1451</v>
      </c>
      <c r="D221" s="1574"/>
      <c r="E221" s="1574"/>
      <c r="F221" s="1574" t="s">
        <v>2059</v>
      </c>
      <c r="G221" s="1574"/>
      <c r="H221" s="1574"/>
      <c r="I221" s="1574"/>
      <c r="J221" s="1412">
        <v>295.83999999999997</v>
      </c>
      <c r="K221" s="1412">
        <v>0</v>
      </c>
      <c r="L221" s="1412">
        <v>431.44</v>
      </c>
      <c r="M221" s="1575">
        <v>431.44</v>
      </c>
      <c r="N221" s="1575"/>
      <c r="O221" s="1575">
        <v>295.83999999999997</v>
      </c>
      <c r="P221" s="1575"/>
      <c r="Q221" s="1575">
        <v>0</v>
      </c>
      <c r="R221" s="1575"/>
      <c r="S221" s="1575"/>
      <c r="T221" s="1575"/>
      <c r="U221" s="1575"/>
    </row>
    <row r="222" spans="1:23" ht="10.9" customHeight="1">
      <c r="A222" s="1574" t="s">
        <v>1322</v>
      </c>
      <c r="B222" s="1574"/>
      <c r="C222" s="1574" t="s">
        <v>1452</v>
      </c>
      <c r="D222" s="1574"/>
      <c r="E222" s="1574"/>
      <c r="F222" s="1574" t="s">
        <v>1028</v>
      </c>
      <c r="G222" s="1574"/>
      <c r="H222" s="1574"/>
      <c r="I222" s="1574"/>
      <c r="J222" s="1412">
        <v>2736.52</v>
      </c>
      <c r="K222" s="1412">
        <v>0</v>
      </c>
      <c r="L222" s="1412">
        <v>0</v>
      </c>
      <c r="M222" s="1575">
        <v>0</v>
      </c>
      <c r="N222" s="1575"/>
      <c r="O222" s="1575">
        <v>2736.52</v>
      </c>
      <c r="P222" s="1575"/>
      <c r="Q222" s="1575">
        <v>0</v>
      </c>
      <c r="R222" s="1575"/>
      <c r="S222" s="1575"/>
      <c r="T222" s="1575"/>
      <c r="U222" s="1575"/>
    </row>
    <row r="223" spans="1:23" ht="10.9" customHeight="1">
      <c r="A223" s="1574" t="s">
        <v>1322</v>
      </c>
      <c r="B223" s="1574"/>
      <c r="C223" s="1574" t="s">
        <v>1453</v>
      </c>
      <c r="D223" s="1574"/>
      <c r="E223" s="1574"/>
      <c r="F223" s="1574" t="s">
        <v>2060</v>
      </c>
      <c r="G223" s="1574"/>
      <c r="H223" s="1574"/>
      <c r="I223" s="1574"/>
      <c r="J223" s="1412">
        <v>77867.039999999994</v>
      </c>
      <c r="K223" s="1412">
        <v>0</v>
      </c>
      <c r="L223" s="1412">
        <v>1951.61</v>
      </c>
      <c r="M223" s="1575">
        <v>0</v>
      </c>
      <c r="N223" s="1575"/>
      <c r="O223" s="1575">
        <v>79818.649999999994</v>
      </c>
      <c r="P223" s="1575"/>
      <c r="Q223" s="1575">
        <v>0</v>
      </c>
      <c r="R223" s="1575"/>
      <c r="S223" s="1575"/>
      <c r="T223" s="1575"/>
      <c r="U223" s="1575"/>
    </row>
    <row r="224" spans="1:23" ht="10.9" customHeight="1">
      <c r="A224" s="1574" t="s">
        <v>1322</v>
      </c>
      <c r="B224" s="1574"/>
      <c r="C224" s="1574" t="s">
        <v>1454</v>
      </c>
      <c r="D224" s="1574"/>
      <c r="E224" s="1574"/>
      <c r="F224" s="1574" t="s">
        <v>2061</v>
      </c>
      <c r="G224" s="1574"/>
      <c r="H224" s="1574"/>
      <c r="I224" s="1574"/>
      <c r="J224" s="1412">
        <v>0</v>
      </c>
      <c r="K224" s="1412">
        <v>0</v>
      </c>
      <c r="L224" s="1412">
        <v>486.38</v>
      </c>
      <c r="M224" s="1575">
        <v>486.38</v>
      </c>
      <c r="N224" s="1575"/>
      <c r="O224" s="1575">
        <v>0</v>
      </c>
      <c r="P224" s="1575"/>
      <c r="Q224" s="1575">
        <v>0</v>
      </c>
      <c r="R224" s="1575"/>
      <c r="S224" s="1575"/>
      <c r="T224" s="1575"/>
      <c r="U224" s="1575"/>
    </row>
    <row r="225" spans="1:21" ht="10.9" customHeight="1">
      <c r="A225" s="1574" t="s">
        <v>1322</v>
      </c>
      <c r="B225" s="1574"/>
      <c r="C225" s="1574" t="s">
        <v>1455</v>
      </c>
      <c r="D225" s="1574"/>
      <c r="E225" s="1574"/>
      <c r="F225" s="1574" t="s">
        <v>2063</v>
      </c>
      <c r="G225" s="1574"/>
      <c r="H225" s="1574"/>
      <c r="I225" s="1574"/>
      <c r="J225" s="1412">
        <v>1697.41</v>
      </c>
      <c r="K225" s="1412">
        <v>0</v>
      </c>
      <c r="L225" s="1412">
        <v>2146.9499999999998</v>
      </c>
      <c r="M225" s="1575">
        <v>2146.9499999999998</v>
      </c>
      <c r="N225" s="1575"/>
      <c r="O225" s="1575">
        <v>1697.41</v>
      </c>
      <c r="P225" s="1575"/>
      <c r="Q225" s="1575">
        <v>0</v>
      </c>
      <c r="R225" s="1575"/>
      <c r="S225" s="1575"/>
      <c r="T225" s="1575"/>
      <c r="U225" s="1575"/>
    </row>
    <row r="226" spans="1:21" ht="10.9" customHeight="1">
      <c r="A226" s="1574" t="s">
        <v>1322</v>
      </c>
      <c r="B226" s="1574"/>
      <c r="C226" s="1574" t="s">
        <v>1456</v>
      </c>
      <c r="D226" s="1574"/>
      <c r="E226" s="1574"/>
      <c r="F226" s="1574" t="s">
        <v>2064</v>
      </c>
      <c r="G226" s="1574"/>
      <c r="H226" s="1574"/>
      <c r="I226" s="1574"/>
      <c r="J226" s="1412">
        <v>43209.13</v>
      </c>
      <c r="K226" s="1412">
        <v>0</v>
      </c>
      <c r="L226" s="1412">
        <v>0.01</v>
      </c>
      <c r="M226" s="1575">
        <v>43209.14</v>
      </c>
      <c r="N226" s="1575"/>
      <c r="O226" s="1575">
        <v>0</v>
      </c>
      <c r="P226" s="1575"/>
      <c r="Q226" s="1575">
        <v>0</v>
      </c>
      <c r="R226" s="1575"/>
      <c r="S226" s="1575"/>
      <c r="T226" s="1575"/>
      <c r="U226" s="1575"/>
    </row>
    <row r="227" spans="1:21" ht="10.9" customHeight="1">
      <c r="A227" s="1574" t="s">
        <v>1322</v>
      </c>
      <c r="B227" s="1574"/>
      <c r="C227" s="1574" t="s">
        <v>1457</v>
      </c>
      <c r="D227" s="1574"/>
      <c r="E227" s="1574"/>
      <c r="F227" s="1574" t="s">
        <v>2065</v>
      </c>
      <c r="G227" s="1574"/>
      <c r="H227" s="1574"/>
      <c r="I227" s="1574"/>
      <c r="J227" s="1412">
        <v>0</v>
      </c>
      <c r="K227" s="1412">
        <v>0</v>
      </c>
      <c r="L227" s="1412">
        <v>0</v>
      </c>
      <c r="M227" s="1575">
        <v>0</v>
      </c>
      <c r="N227" s="1575"/>
      <c r="O227" s="1575">
        <v>0</v>
      </c>
      <c r="P227" s="1575"/>
      <c r="Q227" s="1575">
        <v>0</v>
      </c>
      <c r="R227" s="1575"/>
      <c r="S227" s="1575"/>
      <c r="T227" s="1575"/>
      <c r="U227" s="1575"/>
    </row>
    <row r="228" spans="1:21" ht="10.9" customHeight="1">
      <c r="A228" s="1574" t="s">
        <v>1322</v>
      </c>
      <c r="B228" s="1574"/>
      <c r="C228" s="1574" t="s">
        <v>1458</v>
      </c>
      <c r="D228" s="1574"/>
      <c r="E228" s="1574"/>
      <c r="F228" s="1574" t="s">
        <v>2066</v>
      </c>
      <c r="G228" s="1574"/>
      <c r="H228" s="1574"/>
      <c r="I228" s="1574"/>
      <c r="J228" s="1412">
        <v>320.27999999999997</v>
      </c>
      <c r="K228" s="1412">
        <v>0</v>
      </c>
      <c r="L228" s="1412">
        <v>122.1</v>
      </c>
      <c r="M228" s="1575">
        <v>0</v>
      </c>
      <c r="N228" s="1575"/>
      <c r="O228" s="1575">
        <v>442.38</v>
      </c>
      <c r="P228" s="1575"/>
      <c r="Q228" s="1575">
        <v>0</v>
      </c>
      <c r="R228" s="1575"/>
      <c r="S228" s="1575"/>
      <c r="T228" s="1575"/>
      <c r="U228" s="1575"/>
    </row>
    <row r="229" spans="1:21" ht="10.9" customHeight="1">
      <c r="A229" s="1574" t="s">
        <v>1322</v>
      </c>
      <c r="B229" s="1574"/>
      <c r="C229" s="1574" t="s">
        <v>1459</v>
      </c>
      <c r="D229" s="1574"/>
      <c r="E229" s="1574"/>
      <c r="F229" s="1574" t="s">
        <v>2067</v>
      </c>
      <c r="G229" s="1574"/>
      <c r="H229" s="1574"/>
      <c r="I229" s="1574"/>
      <c r="J229" s="1412">
        <v>0</v>
      </c>
      <c r="K229" s="1412">
        <v>0</v>
      </c>
      <c r="L229" s="1412">
        <v>4397.96</v>
      </c>
      <c r="M229" s="1575">
        <v>4397.96</v>
      </c>
      <c r="N229" s="1575"/>
      <c r="O229" s="1575">
        <v>0</v>
      </c>
      <c r="P229" s="1575"/>
      <c r="Q229" s="1575">
        <v>0</v>
      </c>
      <c r="R229" s="1575"/>
      <c r="S229" s="1575"/>
      <c r="T229" s="1575"/>
      <c r="U229" s="1575"/>
    </row>
    <row r="230" spans="1:21" ht="10.9" customHeight="1">
      <c r="A230" s="1574" t="s">
        <v>1322</v>
      </c>
      <c r="B230" s="1574"/>
      <c r="C230" s="1574" t="s">
        <v>1460</v>
      </c>
      <c r="D230" s="1574"/>
      <c r="E230" s="1574"/>
      <c r="F230" s="1574" t="s">
        <v>2068</v>
      </c>
      <c r="G230" s="1574"/>
      <c r="H230" s="1574"/>
      <c r="I230" s="1574"/>
      <c r="J230" s="1412">
        <v>0</v>
      </c>
      <c r="K230" s="1412">
        <v>0</v>
      </c>
      <c r="L230" s="1412">
        <v>6073.45</v>
      </c>
      <c r="M230" s="1575">
        <v>6073.45</v>
      </c>
      <c r="N230" s="1575"/>
      <c r="O230" s="1575">
        <v>0</v>
      </c>
      <c r="P230" s="1575"/>
      <c r="Q230" s="1575">
        <v>0</v>
      </c>
      <c r="R230" s="1575"/>
      <c r="S230" s="1575"/>
      <c r="T230" s="1575"/>
      <c r="U230" s="1575"/>
    </row>
    <row r="231" spans="1:21" ht="10.9" customHeight="1">
      <c r="A231" s="1574" t="s">
        <v>1322</v>
      </c>
      <c r="B231" s="1574"/>
      <c r="C231" s="1574" t="s">
        <v>1461</v>
      </c>
      <c r="D231" s="1574"/>
      <c r="E231" s="1574"/>
      <c r="F231" s="1574" t="s">
        <v>2069</v>
      </c>
      <c r="G231" s="1574"/>
      <c r="H231" s="1574"/>
      <c r="I231" s="1574"/>
      <c r="J231" s="1412">
        <v>18568.900000000001</v>
      </c>
      <c r="K231" s="1412">
        <v>0</v>
      </c>
      <c r="L231" s="1412">
        <v>18435.72</v>
      </c>
      <c r="M231" s="1575">
        <v>18568.900000000001</v>
      </c>
      <c r="N231" s="1575"/>
      <c r="O231" s="1575">
        <v>18435.72</v>
      </c>
      <c r="P231" s="1575"/>
      <c r="Q231" s="1575">
        <v>0</v>
      </c>
      <c r="R231" s="1575"/>
      <c r="S231" s="1575"/>
      <c r="T231" s="1575"/>
      <c r="U231" s="1575"/>
    </row>
    <row r="232" spans="1:21" ht="10.9" customHeight="1">
      <c r="A232" s="1574" t="s">
        <v>1322</v>
      </c>
      <c r="B232" s="1574"/>
      <c r="C232" s="1574" t="s">
        <v>1462</v>
      </c>
      <c r="D232" s="1574"/>
      <c r="E232" s="1574"/>
      <c r="F232" s="1574" t="s">
        <v>1834</v>
      </c>
      <c r="G232" s="1574"/>
      <c r="H232" s="1574"/>
      <c r="I232" s="1574"/>
      <c r="J232" s="1412">
        <v>0</v>
      </c>
      <c r="K232" s="1412">
        <v>0</v>
      </c>
      <c r="L232" s="1412">
        <v>2169.89</v>
      </c>
      <c r="M232" s="1575">
        <v>2169.89</v>
      </c>
      <c r="N232" s="1575"/>
      <c r="O232" s="1575">
        <v>0</v>
      </c>
      <c r="P232" s="1575"/>
      <c r="Q232" s="1575">
        <v>0</v>
      </c>
      <c r="R232" s="1575"/>
      <c r="S232" s="1575"/>
      <c r="T232" s="1575"/>
      <c r="U232" s="1575"/>
    </row>
    <row r="233" spans="1:21" ht="10.9" customHeight="1">
      <c r="A233" s="1574" t="s">
        <v>1322</v>
      </c>
      <c r="B233" s="1574"/>
      <c r="C233" s="1574" t="s">
        <v>1463</v>
      </c>
      <c r="D233" s="1574"/>
      <c r="E233" s="1574"/>
      <c r="F233" s="1574" t="s">
        <v>2070</v>
      </c>
      <c r="G233" s="1574"/>
      <c r="H233" s="1574"/>
      <c r="I233" s="1574"/>
      <c r="J233" s="1412">
        <v>2523.7800000000002</v>
      </c>
      <c r="K233" s="1412">
        <v>0</v>
      </c>
      <c r="L233" s="1412">
        <v>1126.98</v>
      </c>
      <c r="M233" s="1575">
        <v>1126.98</v>
      </c>
      <c r="N233" s="1575"/>
      <c r="O233" s="1575">
        <v>2523.7800000000002</v>
      </c>
      <c r="P233" s="1575"/>
      <c r="Q233" s="1575">
        <v>0</v>
      </c>
      <c r="R233" s="1575"/>
      <c r="S233" s="1575"/>
      <c r="T233" s="1575"/>
      <c r="U233" s="1575"/>
    </row>
    <row r="234" spans="1:21" ht="10.9" customHeight="1">
      <c r="A234" s="1574" t="s">
        <v>1322</v>
      </c>
      <c r="B234" s="1574"/>
      <c r="C234" s="1574" t="s">
        <v>1464</v>
      </c>
      <c r="D234" s="1574"/>
      <c r="E234" s="1574"/>
      <c r="F234" s="1574" t="s">
        <v>2071</v>
      </c>
      <c r="G234" s="1574"/>
      <c r="H234" s="1574"/>
      <c r="I234" s="1574"/>
      <c r="J234" s="1412">
        <v>0</v>
      </c>
      <c r="K234" s="1412">
        <v>0</v>
      </c>
      <c r="L234" s="1412">
        <v>0</v>
      </c>
      <c r="M234" s="1575">
        <v>0</v>
      </c>
      <c r="N234" s="1575"/>
      <c r="O234" s="1575">
        <v>0</v>
      </c>
      <c r="P234" s="1575"/>
      <c r="Q234" s="1575">
        <v>0</v>
      </c>
      <c r="R234" s="1575"/>
      <c r="S234" s="1575"/>
      <c r="T234" s="1575"/>
      <c r="U234" s="1575"/>
    </row>
    <row r="235" spans="1:21" ht="10.9" customHeight="1">
      <c r="A235" s="1574" t="s">
        <v>1322</v>
      </c>
      <c r="B235" s="1574"/>
      <c r="C235" s="1574" t="s">
        <v>1465</v>
      </c>
      <c r="D235" s="1574"/>
      <c r="E235" s="1574"/>
      <c r="F235" s="1574" t="s">
        <v>2072</v>
      </c>
      <c r="G235" s="1574"/>
      <c r="H235" s="1574"/>
      <c r="I235" s="1574"/>
      <c r="J235" s="1412">
        <v>4528.96</v>
      </c>
      <c r="K235" s="1412">
        <v>0</v>
      </c>
      <c r="L235" s="1412">
        <v>4389.46</v>
      </c>
      <c r="M235" s="1575">
        <v>4528.9799999999996</v>
      </c>
      <c r="N235" s="1575"/>
      <c r="O235" s="1575">
        <v>4389.4399999999996</v>
      </c>
      <c r="P235" s="1575"/>
      <c r="Q235" s="1575">
        <v>0</v>
      </c>
      <c r="R235" s="1575"/>
      <c r="S235" s="1575"/>
      <c r="T235" s="1575"/>
      <c r="U235" s="1575"/>
    </row>
    <row r="236" spans="1:21" ht="10.9" customHeight="1">
      <c r="A236" s="1574" t="s">
        <v>1322</v>
      </c>
      <c r="B236" s="1574"/>
      <c r="C236" s="1574" t="s">
        <v>3127</v>
      </c>
      <c r="D236" s="1574"/>
      <c r="E236" s="1574"/>
      <c r="F236" s="1574" t="s">
        <v>3128</v>
      </c>
      <c r="G236" s="1574"/>
      <c r="H236" s="1574"/>
      <c r="I236" s="1574"/>
      <c r="J236" s="1412">
        <v>0</v>
      </c>
      <c r="K236" s="1412">
        <v>0</v>
      </c>
      <c r="L236" s="1412">
        <v>0</v>
      </c>
      <c r="M236" s="1575">
        <v>0</v>
      </c>
      <c r="N236" s="1575"/>
      <c r="O236" s="1575">
        <v>0</v>
      </c>
      <c r="P236" s="1575"/>
      <c r="Q236" s="1575">
        <v>0</v>
      </c>
      <c r="R236" s="1575"/>
      <c r="S236" s="1575"/>
      <c r="T236" s="1575"/>
      <c r="U236" s="1575"/>
    </row>
    <row r="237" spans="1:21" ht="10.9" customHeight="1">
      <c r="A237" s="1574" t="s">
        <v>1322</v>
      </c>
      <c r="B237" s="1574"/>
      <c r="C237" s="1574" t="s">
        <v>1466</v>
      </c>
      <c r="D237" s="1574"/>
      <c r="E237" s="1574"/>
      <c r="F237" s="1574" t="s">
        <v>2073</v>
      </c>
      <c r="G237" s="1574"/>
      <c r="H237" s="1574"/>
      <c r="I237" s="1574"/>
      <c r="J237" s="1412">
        <v>12890.99</v>
      </c>
      <c r="K237" s="1412">
        <v>0</v>
      </c>
      <c r="L237" s="1412">
        <v>0</v>
      </c>
      <c r="M237" s="1575">
        <v>0</v>
      </c>
      <c r="N237" s="1575"/>
      <c r="O237" s="1575">
        <v>12890.99</v>
      </c>
      <c r="P237" s="1575"/>
      <c r="Q237" s="1575">
        <v>0</v>
      </c>
      <c r="R237" s="1575"/>
      <c r="S237" s="1575"/>
      <c r="T237" s="1575"/>
      <c r="U237" s="1575"/>
    </row>
    <row r="238" spans="1:21" ht="10.9" customHeight="1">
      <c r="A238" s="1574" t="s">
        <v>1322</v>
      </c>
      <c r="B238" s="1574"/>
      <c r="C238" s="1574" t="s">
        <v>1467</v>
      </c>
      <c r="D238" s="1574"/>
      <c r="E238" s="1574"/>
      <c r="F238" s="1574" t="s">
        <v>1298</v>
      </c>
      <c r="G238" s="1574"/>
      <c r="H238" s="1574"/>
      <c r="I238" s="1574"/>
      <c r="J238" s="1412">
        <v>44308.88</v>
      </c>
      <c r="K238" s="1412">
        <v>0</v>
      </c>
      <c r="L238" s="1412">
        <v>33992.89</v>
      </c>
      <c r="M238" s="1575">
        <v>44308.88</v>
      </c>
      <c r="N238" s="1575"/>
      <c r="O238" s="1575">
        <v>33992.89</v>
      </c>
      <c r="P238" s="1575"/>
      <c r="Q238" s="1575">
        <v>0</v>
      </c>
      <c r="R238" s="1575"/>
      <c r="S238" s="1575"/>
      <c r="T238" s="1575"/>
      <c r="U238" s="1575"/>
    </row>
    <row r="239" spans="1:21" ht="10.9" customHeight="1">
      <c r="A239" s="1574" t="s">
        <v>1322</v>
      </c>
      <c r="B239" s="1574"/>
      <c r="C239" s="1574" t="s">
        <v>2074</v>
      </c>
      <c r="D239" s="1574"/>
      <c r="E239" s="1574"/>
      <c r="F239" s="1574" t="s">
        <v>2075</v>
      </c>
      <c r="G239" s="1574"/>
      <c r="H239" s="1574"/>
      <c r="I239" s="1574"/>
      <c r="J239" s="1412">
        <v>0</v>
      </c>
      <c r="K239" s="1412">
        <v>0</v>
      </c>
      <c r="L239" s="1412">
        <v>345219</v>
      </c>
      <c r="M239" s="1575">
        <v>345219</v>
      </c>
      <c r="N239" s="1575"/>
      <c r="O239" s="1575">
        <v>0</v>
      </c>
      <c r="P239" s="1575"/>
      <c r="Q239" s="1575">
        <v>0</v>
      </c>
      <c r="R239" s="1575"/>
      <c r="S239" s="1575"/>
      <c r="T239" s="1575"/>
      <c r="U239" s="1575"/>
    </row>
    <row r="240" spans="1:21" ht="10.9" customHeight="1">
      <c r="A240" s="1574" t="s">
        <v>1322</v>
      </c>
      <c r="B240" s="1574"/>
      <c r="C240" s="1574" t="s">
        <v>1784</v>
      </c>
      <c r="D240" s="1574"/>
      <c r="E240" s="1574"/>
      <c r="F240" s="1574" t="s">
        <v>2076</v>
      </c>
      <c r="G240" s="1574"/>
      <c r="H240" s="1574"/>
      <c r="I240" s="1574"/>
      <c r="J240" s="1412">
        <v>0</v>
      </c>
      <c r="K240" s="1412">
        <v>0</v>
      </c>
      <c r="L240" s="1412">
        <v>1284.8499999999999</v>
      </c>
      <c r="M240" s="1575">
        <v>156.16999999999999</v>
      </c>
      <c r="N240" s="1575"/>
      <c r="O240" s="1575">
        <v>1128.68</v>
      </c>
      <c r="P240" s="1575"/>
      <c r="Q240" s="1575">
        <v>0</v>
      </c>
      <c r="R240" s="1575"/>
      <c r="S240" s="1575"/>
      <c r="T240" s="1575"/>
      <c r="U240" s="1575"/>
    </row>
    <row r="241" spans="1:23" ht="10.9" customHeight="1">
      <c r="A241" s="1574" t="s">
        <v>1322</v>
      </c>
      <c r="B241" s="1574"/>
      <c r="C241" s="1574" t="s">
        <v>1468</v>
      </c>
      <c r="D241" s="1574"/>
      <c r="E241" s="1574"/>
      <c r="F241" s="1574" t="s">
        <v>2077</v>
      </c>
      <c r="G241" s="1574"/>
      <c r="H241" s="1574"/>
      <c r="I241" s="1574"/>
      <c r="J241" s="1412">
        <v>30855.93</v>
      </c>
      <c r="K241" s="1412">
        <v>0</v>
      </c>
      <c r="L241" s="1412">
        <v>24746.59</v>
      </c>
      <c r="M241" s="1575">
        <v>27798.66</v>
      </c>
      <c r="N241" s="1575"/>
      <c r="O241" s="1575">
        <v>27803.86</v>
      </c>
      <c r="P241" s="1575"/>
      <c r="Q241" s="1575">
        <v>0</v>
      </c>
      <c r="R241" s="1575"/>
      <c r="S241" s="1575"/>
      <c r="T241" s="1575"/>
      <c r="U241" s="1575"/>
    </row>
    <row r="242" spans="1:23" ht="10.9" customHeight="1">
      <c r="A242" s="1574" t="s">
        <v>1322</v>
      </c>
      <c r="B242" s="1574"/>
      <c r="C242" s="1574" t="s">
        <v>1469</v>
      </c>
      <c r="D242" s="1574"/>
      <c r="E242" s="1574"/>
      <c r="F242" s="1574" t="s">
        <v>2078</v>
      </c>
      <c r="G242" s="1574"/>
      <c r="H242" s="1574"/>
      <c r="I242" s="1574"/>
      <c r="J242" s="1412">
        <v>17961.86</v>
      </c>
      <c r="K242" s="1412">
        <v>0</v>
      </c>
      <c r="L242" s="1412">
        <v>14595.76</v>
      </c>
      <c r="M242" s="1575">
        <v>0</v>
      </c>
      <c r="N242" s="1575"/>
      <c r="O242" s="1575">
        <v>32557.62</v>
      </c>
      <c r="P242" s="1575"/>
      <c r="Q242" s="1575">
        <v>0</v>
      </c>
      <c r="R242" s="1575"/>
      <c r="S242" s="1575"/>
      <c r="T242" s="1575"/>
      <c r="U242" s="1575"/>
    </row>
    <row r="243" spans="1:23" ht="10.9" customHeight="1">
      <c r="A243" s="1574" t="s">
        <v>1322</v>
      </c>
      <c r="B243" s="1574"/>
      <c r="C243" s="1574" t="s">
        <v>1470</v>
      </c>
      <c r="D243" s="1574"/>
      <c r="E243" s="1574"/>
      <c r="F243" s="1574" t="s">
        <v>2079</v>
      </c>
      <c r="G243" s="1574"/>
      <c r="H243" s="1574"/>
      <c r="I243" s="1574"/>
      <c r="J243" s="1412">
        <v>3886.1</v>
      </c>
      <c r="K243" s="1412">
        <v>0</v>
      </c>
      <c r="L243" s="1412">
        <v>3697.03</v>
      </c>
      <c r="M243" s="1575">
        <v>7583.13</v>
      </c>
      <c r="N243" s="1575"/>
      <c r="O243" s="1575">
        <v>0</v>
      </c>
      <c r="P243" s="1575"/>
      <c r="Q243" s="1575">
        <v>0</v>
      </c>
      <c r="R243" s="1575"/>
      <c r="S243" s="1575"/>
      <c r="T243" s="1575"/>
      <c r="U243" s="1575"/>
    </row>
    <row r="244" spans="1:23" ht="10.9" customHeight="1">
      <c r="A244" s="1574" t="s">
        <v>1322</v>
      </c>
      <c r="B244" s="1574"/>
      <c r="C244" s="1574" t="s">
        <v>1471</v>
      </c>
      <c r="D244" s="1574"/>
      <c r="E244" s="1574"/>
      <c r="F244" s="1574" t="s">
        <v>2080</v>
      </c>
      <c r="G244" s="1574"/>
      <c r="H244" s="1574"/>
      <c r="I244" s="1574"/>
      <c r="J244" s="1412">
        <v>392.53</v>
      </c>
      <c r="K244" s="1412">
        <v>0</v>
      </c>
      <c r="L244" s="1412">
        <v>366.12</v>
      </c>
      <c r="M244" s="1575">
        <v>366.12</v>
      </c>
      <c r="N244" s="1575"/>
      <c r="O244" s="1575">
        <v>392.53</v>
      </c>
      <c r="P244" s="1575"/>
      <c r="Q244" s="1575">
        <v>0</v>
      </c>
      <c r="R244" s="1575"/>
      <c r="S244" s="1575"/>
      <c r="T244" s="1575"/>
      <c r="U244" s="1575"/>
    </row>
    <row r="245" spans="1:23" ht="10.9" customHeight="1">
      <c r="A245" s="1574" t="s">
        <v>1322</v>
      </c>
      <c r="B245" s="1574"/>
      <c r="C245" s="1574" t="s">
        <v>7019</v>
      </c>
      <c r="D245" s="1574"/>
      <c r="E245" s="1574"/>
      <c r="F245" s="1574" t="s">
        <v>7020</v>
      </c>
      <c r="G245" s="1574"/>
      <c r="H245" s="1574"/>
      <c r="I245" s="1574"/>
      <c r="J245" s="1412">
        <v>0</v>
      </c>
      <c r="K245" s="1412">
        <v>0</v>
      </c>
      <c r="L245" s="1412">
        <v>1585.49</v>
      </c>
      <c r="M245" s="1575">
        <v>1585.49</v>
      </c>
      <c r="N245" s="1575"/>
      <c r="O245" s="1575">
        <v>0</v>
      </c>
      <c r="P245" s="1575"/>
      <c r="Q245" s="1575">
        <v>0</v>
      </c>
      <c r="R245" s="1575"/>
      <c r="S245" s="1575"/>
      <c r="T245" s="1575"/>
      <c r="U245" s="1575"/>
    </row>
    <row r="246" spans="1:23" ht="10.9" customHeight="1">
      <c r="A246" s="1574" t="s">
        <v>1322</v>
      </c>
      <c r="B246" s="1574"/>
      <c r="C246" s="1574" t="s">
        <v>1472</v>
      </c>
      <c r="D246" s="1574"/>
      <c r="E246" s="1574"/>
      <c r="F246" s="1574" t="s">
        <v>2081</v>
      </c>
      <c r="G246" s="1574"/>
      <c r="H246" s="1574"/>
      <c r="I246" s="1574"/>
      <c r="J246" s="1412">
        <v>2323.23</v>
      </c>
      <c r="K246" s="1412">
        <v>0</v>
      </c>
      <c r="L246" s="1412">
        <v>1337.32</v>
      </c>
      <c r="M246" s="1575">
        <v>1337.32</v>
      </c>
      <c r="N246" s="1575"/>
      <c r="O246" s="1575">
        <v>2323.23</v>
      </c>
      <c r="P246" s="1575"/>
      <c r="Q246" s="1575">
        <v>0</v>
      </c>
      <c r="R246" s="1575"/>
      <c r="S246" s="1575"/>
      <c r="T246" s="1575"/>
      <c r="U246" s="1575"/>
    </row>
    <row r="247" spans="1:23" ht="10.9" customHeight="1">
      <c r="A247" s="1574" t="s">
        <v>1322</v>
      </c>
      <c r="B247" s="1574"/>
      <c r="C247" s="1574" t="s">
        <v>1473</v>
      </c>
      <c r="D247" s="1574"/>
      <c r="E247" s="1574"/>
      <c r="F247" s="1574" t="s">
        <v>2082</v>
      </c>
      <c r="G247" s="1574"/>
      <c r="H247" s="1574"/>
      <c r="I247" s="1574"/>
      <c r="J247" s="1412">
        <v>117403.83</v>
      </c>
      <c r="K247" s="1412">
        <v>0</v>
      </c>
      <c r="L247" s="1412">
        <v>8742.2900000000009</v>
      </c>
      <c r="M247" s="1575">
        <v>0</v>
      </c>
      <c r="N247" s="1575"/>
      <c r="O247" s="1575">
        <v>126146.12</v>
      </c>
      <c r="P247" s="1575"/>
      <c r="Q247" s="1575">
        <v>0</v>
      </c>
      <c r="R247" s="1575"/>
      <c r="S247" s="1575"/>
      <c r="T247" s="1575"/>
      <c r="U247" s="1575"/>
    </row>
    <row r="248" spans="1:23" ht="10.9" customHeight="1">
      <c r="A248" s="1574" t="s">
        <v>1322</v>
      </c>
      <c r="B248" s="1574"/>
      <c r="C248" s="1574" t="s">
        <v>1474</v>
      </c>
      <c r="D248" s="1574"/>
      <c r="E248" s="1574"/>
      <c r="F248" s="1574" t="s">
        <v>2083</v>
      </c>
      <c r="G248" s="1574"/>
      <c r="H248" s="1574"/>
      <c r="I248" s="1574"/>
      <c r="J248" s="1412">
        <v>12766.59</v>
      </c>
      <c r="K248" s="1412">
        <v>0</v>
      </c>
      <c r="L248" s="1412">
        <v>4240.6099999999997</v>
      </c>
      <c r="M248" s="1575">
        <v>4240.6099999999997</v>
      </c>
      <c r="N248" s="1575"/>
      <c r="O248" s="1575">
        <v>12766.59</v>
      </c>
      <c r="P248" s="1575"/>
      <c r="Q248" s="1575">
        <v>0</v>
      </c>
      <c r="R248" s="1575"/>
      <c r="S248" s="1575"/>
      <c r="T248" s="1575"/>
      <c r="U248" s="1575"/>
    </row>
    <row r="249" spans="1:23" ht="10.9" customHeight="1">
      <c r="A249" s="1574" t="s">
        <v>1322</v>
      </c>
      <c r="B249" s="1574"/>
      <c r="C249" s="1574" t="s">
        <v>1475</v>
      </c>
      <c r="D249" s="1574"/>
      <c r="E249" s="1574"/>
      <c r="F249" s="1574" t="s">
        <v>2084</v>
      </c>
      <c r="G249" s="1574"/>
      <c r="H249" s="1574"/>
      <c r="I249" s="1574"/>
      <c r="J249" s="1412">
        <v>0</v>
      </c>
      <c r="K249" s="1412">
        <v>0</v>
      </c>
      <c r="L249" s="1412">
        <v>6033.87</v>
      </c>
      <c r="M249" s="1575">
        <v>6033.87</v>
      </c>
      <c r="N249" s="1575"/>
      <c r="O249" s="1575">
        <v>0</v>
      </c>
      <c r="P249" s="1575"/>
      <c r="Q249" s="1575">
        <v>0</v>
      </c>
      <c r="R249" s="1575"/>
      <c r="S249" s="1575"/>
      <c r="T249" s="1575"/>
      <c r="U249" s="1575"/>
    </row>
    <row r="250" spans="1:23" ht="10.9" customHeight="1">
      <c r="A250" s="1574" t="s">
        <v>1322</v>
      </c>
      <c r="B250" s="1574"/>
      <c r="C250" s="1574" t="s">
        <v>1476</v>
      </c>
      <c r="D250" s="1574"/>
      <c r="E250" s="1574"/>
      <c r="F250" s="1574" t="s">
        <v>2085</v>
      </c>
      <c r="G250" s="1574"/>
      <c r="H250" s="1574"/>
      <c r="I250" s="1574"/>
      <c r="J250" s="1412">
        <v>7771.73</v>
      </c>
      <c r="K250" s="1412">
        <v>0</v>
      </c>
      <c r="L250" s="1412">
        <v>3803.61</v>
      </c>
      <c r="M250" s="1575">
        <v>3889.23</v>
      </c>
      <c r="N250" s="1575"/>
      <c r="O250" s="1575">
        <v>7686.11</v>
      </c>
      <c r="P250" s="1575"/>
      <c r="Q250" s="1575">
        <v>0</v>
      </c>
      <c r="R250" s="1575"/>
      <c r="S250" s="1575"/>
      <c r="T250" s="1575"/>
      <c r="U250" s="1575"/>
    </row>
    <row r="251" spans="1:23" ht="10.9" customHeight="1">
      <c r="A251" s="1574" t="s">
        <v>1322</v>
      </c>
      <c r="B251" s="1574"/>
      <c r="C251" s="1574" t="s">
        <v>1477</v>
      </c>
      <c r="D251" s="1574"/>
      <c r="E251" s="1574"/>
      <c r="F251" s="1574" t="s">
        <v>2086</v>
      </c>
      <c r="G251" s="1574"/>
      <c r="H251" s="1574"/>
      <c r="I251" s="1574"/>
      <c r="J251" s="1412">
        <v>74.83</v>
      </c>
      <c r="K251" s="1412">
        <v>0</v>
      </c>
      <c r="L251" s="1412">
        <v>0</v>
      </c>
      <c r="M251" s="1575">
        <v>0</v>
      </c>
      <c r="N251" s="1575"/>
      <c r="O251" s="1575">
        <v>74.83</v>
      </c>
      <c r="P251" s="1575"/>
      <c r="Q251" s="1575">
        <v>0</v>
      </c>
      <c r="R251" s="1575"/>
      <c r="S251" s="1575"/>
      <c r="T251" s="1575"/>
      <c r="U251" s="1575"/>
    </row>
    <row r="252" spans="1:23" ht="10.9" customHeight="1">
      <c r="A252" s="1574" t="s">
        <v>1322</v>
      </c>
      <c r="B252" s="1574"/>
      <c r="C252" s="1574" t="s">
        <v>1478</v>
      </c>
      <c r="D252" s="1574"/>
      <c r="E252" s="1574"/>
      <c r="F252" s="1574" t="s">
        <v>2087</v>
      </c>
      <c r="G252" s="1574"/>
      <c r="H252" s="1574"/>
      <c r="I252" s="1574"/>
      <c r="J252" s="1412">
        <v>33967.67</v>
      </c>
      <c r="K252" s="1412">
        <v>0</v>
      </c>
      <c r="L252" s="1412">
        <v>1634.68</v>
      </c>
      <c r="M252" s="1575">
        <v>0</v>
      </c>
      <c r="N252" s="1575"/>
      <c r="O252" s="1575">
        <v>35602.35</v>
      </c>
      <c r="P252" s="1575"/>
      <c r="Q252" s="1575">
        <v>0</v>
      </c>
      <c r="R252" s="1575"/>
      <c r="S252" s="1575"/>
      <c r="T252" s="1575"/>
      <c r="U252" s="1575"/>
    </row>
    <row r="253" spans="1:23" ht="10.9" customHeight="1">
      <c r="A253" s="1574" t="s">
        <v>1322</v>
      </c>
      <c r="B253" s="1574"/>
      <c r="C253" s="1574" t="s">
        <v>1479</v>
      </c>
      <c r="D253" s="1574"/>
      <c r="E253" s="1574"/>
      <c r="F253" s="1574" t="s">
        <v>2088</v>
      </c>
      <c r="G253" s="1574"/>
      <c r="H253" s="1574"/>
      <c r="I253" s="1574"/>
      <c r="J253" s="1412">
        <v>0</v>
      </c>
      <c r="K253" s="1412">
        <v>0</v>
      </c>
      <c r="L253" s="1412">
        <v>729.9</v>
      </c>
      <c r="M253" s="1575">
        <v>729.9</v>
      </c>
      <c r="N253" s="1575"/>
      <c r="O253" s="1575">
        <v>0</v>
      </c>
      <c r="P253" s="1575"/>
      <c r="Q253" s="1575">
        <v>0</v>
      </c>
      <c r="R253" s="1575"/>
      <c r="S253" s="1575"/>
      <c r="T253" s="1575"/>
      <c r="U253" s="1575"/>
    </row>
    <row r="254" spans="1:23" ht="10.9" customHeight="1">
      <c r="A254" s="1574" t="s">
        <v>1322</v>
      </c>
      <c r="B254" s="1574"/>
      <c r="C254" s="1574" t="s">
        <v>1480</v>
      </c>
      <c r="D254" s="1574"/>
      <c r="E254" s="1574"/>
      <c r="F254" s="1574" t="s">
        <v>2089</v>
      </c>
      <c r="G254" s="1574"/>
      <c r="H254" s="1574"/>
      <c r="I254" s="1574"/>
      <c r="J254" s="1412">
        <v>949.55</v>
      </c>
      <c r="K254" s="1412">
        <v>0</v>
      </c>
      <c r="L254" s="1412">
        <v>329.56</v>
      </c>
      <c r="M254" s="1575">
        <v>329.56</v>
      </c>
      <c r="N254" s="1575"/>
      <c r="O254" s="1575">
        <v>949.55</v>
      </c>
      <c r="P254" s="1575"/>
      <c r="Q254" s="1575">
        <v>0</v>
      </c>
      <c r="R254" s="1575"/>
      <c r="S254" s="1575"/>
      <c r="T254" s="1575"/>
      <c r="U254" s="1575"/>
    </row>
    <row r="255" spans="1:23" ht="8.4499999999999993" customHeight="1"/>
    <row r="256" spans="1:23" ht="14.1" customHeight="1">
      <c r="S256" s="1573" t="s">
        <v>2097</v>
      </c>
      <c r="T256" s="1573"/>
      <c r="U256" s="1573"/>
      <c r="V256" s="1573"/>
      <c r="W256" s="1573"/>
    </row>
    <row r="257" spans="1:23" ht="7.15" customHeight="1">
      <c r="C257" s="1586" t="s">
        <v>2987</v>
      </c>
      <c r="D257" s="1586"/>
      <c r="E257" s="1586"/>
      <c r="F257" s="1586"/>
      <c r="G257" s="1586"/>
      <c r="H257" s="1586"/>
      <c r="I257" s="1586"/>
      <c r="J257" s="1586"/>
      <c r="K257" s="1586"/>
      <c r="L257" s="1586"/>
      <c r="M257" s="1586"/>
      <c r="N257" s="1586"/>
      <c r="O257" s="1586"/>
      <c r="P257" s="1586"/>
      <c r="Q257" s="1586"/>
      <c r="R257" s="1586"/>
      <c r="S257" s="1586"/>
      <c r="T257" s="1586"/>
    </row>
    <row r="258" spans="1:23" ht="9.6" customHeight="1">
      <c r="A258" s="1587"/>
      <c r="B258" s="1587"/>
      <c r="C258" s="1587"/>
      <c r="D258" s="1587"/>
      <c r="E258" s="1587"/>
      <c r="F258" s="1587"/>
      <c r="G258" s="1586"/>
      <c r="H258" s="1586"/>
      <c r="I258" s="1586"/>
      <c r="J258" s="1586"/>
      <c r="K258" s="1586"/>
      <c r="L258" s="1586"/>
      <c r="M258" s="1586"/>
      <c r="N258" s="1586"/>
      <c r="O258" s="1586"/>
      <c r="P258" s="1586"/>
      <c r="Q258" s="1586"/>
      <c r="R258" s="1586"/>
      <c r="S258" s="1586"/>
      <c r="T258" s="1586"/>
    </row>
    <row r="259" spans="1:23" ht="13.35" customHeight="1">
      <c r="A259" s="1587"/>
      <c r="B259" s="1587"/>
      <c r="C259" s="1587"/>
      <c r="D259" s="1587"/>
      <c r="E259" s="1587"/>
      <c r="F259" s="1587"/>
      <c r="G259" s="1588" t="s">
        <v>79</v>
      </c>
      <c r="H259" s="1588"/>
      <c r="I259" s="1588"/>
      <c r="J259" s="1588"/>
      <c r="K259" s="1588"/>
      <c r="L259" s="1588"/>
      <c r="M259" s="1588"/>
      <c r="N259" s="1588"/>
      <c r="O259" s="1588"/>
      <c r="P259" s="1588"/>
      <c r="Q259" s="1588"/>
      <c r="R259" s="1588"/>
    </row>
    <row r="260" spans="1:23" ht="5.25" customHeight="1">
      <c r="A260" s="1587"/>
      <c r="B260" s="1587"/>
      <c r="C260" s="1587"/>
      <c r="D260" s="1587"/>
      <c r="E260" s="1587"/>
      <c r="F260" s="1587"/>
      <c r="G260" s="1581" t="s">
        <v>7015</v>
      </c>
      <c r="H260" s="1581"/>
      <c r="I260" s="1581"/>
      <c r="J260" s="1581"/>
      <c r="K260" s="1581"/>
      <c r="L260" s="1581"/>
      <c r="M260" s="1581"/>
      <c r="N260" s="1581"/>
      <c r="O260" s="1581"/>
      <c r="P260" s="1581"/>
      <c r="Q260" s="1581"/>
    </row>
    <row r="261" spans="1:23" ht="8.1" customHeight="1">
      <c r="B261" s="1580" t="s">
        <v>1916</v>
      </c>
      <c r="C261" s="1580"/>
      <c r="D261" s="1580"/>
      <c r="E261" s="1580"/>
      <c r="F261" s="1580"/>
      <c r="G261" s="1580"/>
      <c r="H261" s="1581"/>
      <c r="I261" s="1581"/>
      <c r="J261" s="1581"/>
      <c r="K261" s="1581"/>
      <c r="L261" s="1581"/>
      <c r="M261" s="1581"/>
      <c r="N261" s="1582" t="s">
        <v>5619</v>
      </c>
      <c r="O261" s="1582"/>
      <c r="P261" s="1582"/>
      <c r="Q261" s="1582"/>
      <c r="R261" s="1582"/>
      <c r="S261" s="1582"/>
      <c r="T261" s="1583" t="s">
        <v>7016</v>
      </c>
      <c r="U261" s="1583"/>
      <c r="V261" s="1583"/>
      <c r="W261" s="1583"/>
    </row>
    <row r="262" spans="1:23" ht="6" customHeight="1">
      <c r="B262" s="1580"/>
      <c r="C262" s="1580"/>
      <c r="D262" s="1580"/>
      <c r="E262" s="1580"/>
      <c r="F262" s="1580"/>
      <c r="G262" s="1580"/>
      <c r="H262" s="1584" t="s">
        <v>7017</v>
      </c>
      <c r="I262" s="1584"/>
      <c r="J262" s="1584"/>
      <c r="K262" s="1584"/>
      <c r="L262" s="1584"/>
      <c r="M262" s="1584"/>
      <c r="N262" s="1582"/>
      <c r="O262" s="1582"/>
      <c r="P262" s="1582"/>
      <c r="Q262" s="1582"/>
      <c r="R262" s="1582"/>
      <c r="S262" s="1582"/>
      <c r="T262" s="1583"/>
      <c r="U262" s="1583"/>
      <c r="V262" s="1583"/>
      <c r="W262" s="1583"/>
    </row>
    <row r="263" spans="1:23" ht="7.35" customHeight="1">
      <c r="B263" s="1580" t="s">
        <v>1994</v>
      </c>
      <c r="C263" s="1580"/>
      <c r="D263" s="1580"/>
      <c r="E263" s="1585"/>
      <c r="F263" s="1585"/>
      <c r="G263" s="1585"/>
      <c r="H263" s="1585"/>
      <c r="I263" s="1585"/>
      <c r="J263" s="1585"/>
      <c r="K263" s="1585"/>
      <c r="L263" s="1585"/>
      <c r="M263" s="1585"/>
      <c r="N263" s="1585"/>
      <c r="O263" s="1585"/>
      <c r="P263" s="1585"/>
      <c r="Q263" s="1585"/>
      <c r="R263" s="1582"/>
      <c r="S263" s="1582"/>
      <c r="T263" s="1582" t="s">
        <v>7018</v>
      </c>
      <c r="U263" s="1582"/>
    </row>
    <row r="264" spans="1:23" ht="6.75" customHeight="1">
      <c r="E264" s="1585"/>
      <c r="F264" s="1585"/>
      <c r="G264" s="1585"/>
      <c r="H264" s="1585"/>
      <c r="I264" s="1585"/>
      <c r="J264" s="1585"/>
      <c r="K264" s="1585"/>
      <c r="L264" s="1585"/>
      <c r="M264" s="1585"/>
      <c r="N264" s="1585"/>
      <c r="O264" s="1585"/>
      <c r="P264" s="1585"/>
      <c r="Q264" s="1585"/>
      <c r="R264" s="1582"/>
      <c r="S264" s="1582"/>
      <c r="T264" s="1582"/>
      <c r="U264" s="1582"/>
    </row>
    <row r="265" spans="1:23" ht="10.9" customHeight="1">
      <c r="A265" s="1576"/>
      <c r="B265" s="1576"/>
      <c r="C265" s="1576"/>
      <c r="D265" s="1576"/>
      <c r="E265" s="1576"/>
      <c r="F265" s="1576"/>
      <c r="G265" s="1576"/>
      <c r="H265" s="1576"/>
      <c r="I265" s="1576"/>
      <c r="J265" s="1577" t="s">
        <v>1314</v>
      </c>
      <c r="K265" s="1577"/>
      <c r="L265" s="1577" t="s">
        <v>1315</v>
      </c>
      <c r="M265" s="1577"/>
      <c r="N265" s="1577"/>
      <c r="O265" s="1577" t="s">
        <v>1316</v>
      </c>
      <c r="P265" s="1577"/>
      <c r="Q265" s="1577"/>
      <c r="R265" s="1577"/>
      <c r="S265" s="1577"/>
      <c r="T265" s="1577"/>
      <c r="U265" s="1577"/>
    </row>
    <row r="266" spans="1:23" ht="14.1" customHeight="1">
      <c r="A266" s="1578" t="s">
        <v>1317</v>
      </c>
      <c r="B266" s="1578"/>
      <c r="C266" s="1578" t="s">
        <v>1318</v>
      </c>
      <c r="D266" s="1578"/>
      <c r="E266" s="1578"/>
      <c r="F266" s="1578" t="s">
        <v>1319</v>
      </c>
      <c r="G266" s="1578"/>
      <c r="H266" s="1578"/>
      <c r="I266" s="1578"/>
      <c r="J266" s="1413" t="s">
        <v>1320</v>
      </c>
      <c r="K266" s="1413" t="s">
        <v>1321</v>
      </c>
      <c r="L266" s="1413" t="s">
        <v>1320</v>
      </c>
      <c r="M266" s="1579" t="s">
        <v>1321</v>
      </c>
      <c r="N266" s="1579"/>
      <c r="O266" s="1579" t="s">
        <v>1320</v>
      </c>
      <c r="P266" s="1579"/>
      <c r="Q266" s="1579" t="s">
        <v>1321</v>
      </c>
      <c r="R266" s="1579"/>
      <c r="S266" s="1579"/>
      <c r="T266" s="1579"/>
      <c r="U266" s="1579"/>
    </row>
    <row r="267" spans="1:23" ht="14.1" customHeight="1">
      <c r="A267" s="1574" t="s">
        <v>1322</v>
      </c>
      <c r="B267" s="1574"/>
      <c r="C267" s="1574" t="s">
        <v>1481</v>
      </c>
      <c r="D267" s="1574"/>
      <c r="E267" s="1574"/>
      <c r="F267" s="1574" t="s">
        <v>2090</v>
      </c>
      <c r="G267" s="1574"/>
      <c r="H267" s="1574"/>
      <c r="I267" s="1574"/>
      <c r="J267" s="1412">
        <v>822.54</v>
      </c>
      <c r="K267" s="1412">
        <v>0</v>
      </c>
      <c r="L267" s="1412">
        <v>359.92</v>
      </c>
      <c r="M267" s="1575">
        <v>359.92</v>
      </c>
      <c r="N267" s="1575"/>
      <c r="O267" s="1575">
        <v>822.54</v>
      </c>
      <c r="P267" s="1575"/>
      <c r="Q267" s="1575">
        <v>0</v>
      </c>
      <c r="R267" s="1575"/>
      <c r="S267" s="1575"/>
      <c r="T267" s="1575"/>
      <c r="U267" s="1575"/>
    </row>
    <row r="268" spans="1:23" ht="10.9" customHeight="1">
      <c r="A268" s="1574" t="s">
        <v>1322</v>
      </c>
      <c r="B268" s="1574"/>
      <c r="C268" s="1574" t="s">
        <v>1482</v>
      </c>
      <c r="D268" s="1574"/>
      <c r="E268" s="1574"/>
      <c r="F268" s="1574" t="s">
        <v>2091</v>
      </c>
      <c r="G268" s="1574"/>
      <c r="H268" s="1574"/>
      <c r="I268" s="1574"/>
      <c r="J268" s="1412">
        <v>589.04999999999995</v>
      </c>
      <c r="K268" s="1412">
        <v>0</v>
      </c>
      <c r="L268" s="1412">
        <v>0</v>
      </c>
      <c r="M268" s="1575">
        <v>0</v>
      </c>
      <c r="N268" s="1575"/>
      <c r="O268" s="1575">
        <v>589.04999999999995</v>
      </c>
      <c r="P268" s="1575"/>
      <c r="Q268" s="1575">
        <v>0</v>
      </c>
      <c r="R268" s="1575"/>
      <c r="S268" s="1575"/>
      <c r="T268" s="1575"/>
      <c r="U268" s="1575"/>
    </row>
    <row r="269" spans="1:23" ht="10.9" customHeight="1">
      <c r="A269" s="1574" t="s">
        <v>1322</v>
      </c>
      <c r="B269" s="1574"/>
      <c r="C269" s="1574" t="s">
        <v>1483</v>
      </c>
      <c r="D269" s="1574"/>
      <c r="E269" s="1574"/>
      <c r="F269" s="1574" t="s">
        <v>2092</v>
      </c>
      <c r="G269" s="1574"/>
      <c r="H269" s="1574"/>
      <c r="I269" s="1574"/>
      <c r="J269" s="1412">
        <v>5544.87</v>
      </c>
      <c r="K269" s="1412">
        <v>0</v>
      </c>
      <c r="L269" s="1412">
        <v>0</v>
      </c>
      <c r="M269" s="1575">
        <v>0</v>
      </c>
      <c r="N269" s="1575"/>
      <c r="O269" s="1575">
        <v>5544.87</v>
      </c>
      <c r="P269" s="1575"/>
      <c r="Q269" s="1575">
        <v>0</v>
      </c>
      <c r="R269" s="1575"/>
      <c r="S269" s="1575"/>
      <c r="T269" s="1575"/>
      <c r="U269" s="1575"/>
    </row>
    <row r="270" spans="1:23" ht="10.9" customHeight="1">
      <c r="A270" s="1574" t="s">
        <v>1322</v>
      </c>
      <c r="B270" s="1574"/>
      <c r="C270" s="1574" t="s">
        <v>1484</v>
      </c>
      <c r="D270" s="1574"/>
      <c r="E270" s="1574"/>
      <c r="F270" s="1574" t="s">
        <v>2093</v>
      </c>
      <c r="G270" s="1574"/>
      <c r="H270" s="1574"/>
      <c r="I270" s="1574"/>
      <c r="J270" s="1412">
        <v>418.2</v>
      </c>
      <c r="K270" s="1412">
        <v>0</v>
      </c>
      <c r="L270" s="1412">
        <v>147.72</v>
      </c>
      <c r="M270" s="1575">
        <v>0</v>
      </c>
      <c r="N270" s="1575"/>
      <c r="O270" s="1575">
        <v>565.91999999999996</v>
      </c>
      <c r="P270" s="1575"/>
      <c r="Q270" s="1575">
        <v>0</v>
      </c>
      <c r="R270" s="1575"/>
      <c r="S270" s="1575"/>
      <c r="T270" s="1575"/>
      <c r="U270" s="1575"/>
    </row>
    <row r="271" spans="1:23" ht="10.9" customHeight="1">
      <c r="A271" s="1574" t="s">
        <v>1322</v>
      </c>
      <c r="B271" s="1574"/>
      <c r="C271" s="1574" t="s">
        <v>1485</v>
      </c>
      <c r="D271" s="1574"/>
      <c r="E271" s="1574"/>
      <c r="F271" s="1574" t="s">
        <v>2094</v>
      </c>
      <c r="G271" s="1574"/>
      <c r="H271" s="1574"/>
      <c r="I271" s="1574"/>
      <c r="J271" s="1412">
        <v>142590.56</v>
      </c>
      <c r="K271" s="1412">
        <v>0</v>
      </c>
      <c r="L271" s="1412">
        <v>74533.600000000006</v>
      </c>
      <c r="M271" s="1575">
        <v>142590.56</v>
      </c>
      <c r="N271" s="1575"/>
      <c r="O271" s="1575">
        <v>74533.600000000006</v>
      </c>
      <c r="P271" s="1575"/>
      <c r="Q271" s="1575">
        <v>0</v>
      </c>
      <c r="R271" s="1575"/>
      <c r="S271" s="1575"/>
      <c r="T271" s="1575"/>
      <c r="U271" s="1575"/>
    </row>
    <row r="272" spans="1:23" ht="10.9" customHeight="1">
      <c r="A272" s="1574" t="s">
        <v>1322</v>
      </c>
      <c r="B272" s="1574"/>
      <c r="C272" s="1574" t="s">
        <v>1486</v>
      </c>
      <c r="D272" s="1574"/>
      <c r="E272" s="1574"/>
      <c r="F272" s="1574" t="s">
        <v>2095</v>
      </c>
      <c r="G272" s="1574"/>
      <c r="H272" s="1574"/>
      <c r="I272" s="1574"/>
      <c r="J272" s="1412">
        <v>0</v>
      </c>
      <c r="K272" s="1412">
        <v>0</v>
      </c>
      <c r="L272" s="1412">
        <v>2342.96</v>
      </c>
      <c r="M272" s="1575">
        <v>2342.96</v>
      </c>
      <c r="N272" s="1575"/>
      <c r="O272" s="1575">
        <v>0</v>
      </c>
      <c r="P272" s="1575"/>
      <c r="Q272" s="1575">
        <v>0</v>
      </c>
      <c r="R272" s="1575"/>
      <c r="S272" s="1575"/>
      <c r="T272" s="1575"/>
      <c r="U272" s="1575"/>
    </row>
    <row r="273" spans="1:21" ht="10.9" customHeight="1">
      <c r="A273" s="1574" t="s">
        <v>1322</v>
      </c>
      <c r="B273" s="1574"/>
      <c r="C273" s="1574" t="s">
        <v>1487</v>
      </c>
      <c r="D273" s="1574"/>
      <c r="E273" s="1574"/>
      <c r="F273" s="1574" t="s">
        <v>1957</v>
      </c>
      <c r="G273" s="1574"/>
      <c r="H273" s="1574"/>
      <c r="I273" s="1574"/>
      <c r="J273" s="1412">
        <v>2156.9899999999998</v>
      </c>
      <c r="K273" s="1412">
        <v>0</v>
      </c>
      <c r="L273" s="1412">
        <v>1942.56</v>
      </c>
      <c r="M273" s="1575">
        <v>2156.9899999999998</v>
      </c>
      <c r="N273" s="1575"/>
      <c r="O273" s="1575">
        <v>1942.56</v>
      </c>
      <c r="P273" s="1575"/>
      <c r="Q273" s="1575">
        <v>0</v>
      </c>
      <c r="R273" s="1575"/>
      <c r="S273" s="1575"/>
      <c r="T273" s="1575"/>
      <c r="U273" s="1575"/>
    </row>
    <row r="274" spans="1:21" ht="10.9" customHeight="1">
      <c r="A274" s="1574" t="s">
        <v>1322</v>
      </c>
      <c r="B274" s="1574"/>
      <c r="C274" s="1574" t="s">
        <v>2877</v>
      </c>
      <c r="D274" s="1574"/>
      <c r="E274" s="1574"/>
      <c r="F274" s="1574" t="s">
        <v>2878</v>
      </c>
      <c r="G274" s="1574"/>
      <c r="H274" s="1574"/>
      <c r="I274" s="1574"/>
      <c r="J274" s="1412">
        <v>1155.92</v>
      </c>
      <c r="K274" s="1412">
        <v>0</v>
      </c>
      <c r="L274" s="1412">
        <v>0</v>
      </c>
      <c r="M274" s="1575">
        <v>0</v>
      </c>
      <c r="N274" s="1575"/>
      <c r="O274" s="1575">
        <v>1155.92</v>
      </c>
      <c r="P274" s="1575"/>
      <c r="Q274" s="1575">
        <v>0</v>
      </c>
      <c r="R274" s="1575"/>
      <c r="S274" s="1575"/>
      <c r="T274" s="1575"/>
      <c r="U274" s="1575"/>
    </row>
    <row r="275" spans="1:21" ht="10.9" customHeight="1">
      <c r="A275" s="1574" t="s">
        <v>1322</v>
      </c>
      <c r="B275" s="1574"/>
      <c r="C275" s="1574" t="s">
        <v>1488</v>
      </c>
      <c r="D275" s="1574"/>
      <c r="E275" s="1574"/>
      <c r="F275" s="1574" t="s">
        <v>2096</v>
      </c>
      <c r="G275" s="1574"/>
      <c r="H275" s="1574"/>
      <c r="I275" s="1574"/>
      <c r="J275" s="1412">
        <v>0</v>
      </c>
      <c r="K275" s="1412">
        <v>0</v>
      </c>
      <c r="L275" s="1412">
        <v>1298.49</v>
      </c>
      <c r="M275" s="1575">
        <v>1298.49</v>
      </c>
      <c r="N275" s="1575"/>
      <c r="O275" s="1575">
        <v>0</v>
      </c>
      <c r="P275" s="1575"/>
      <c r="Q275" s="1575">
        <v>0</v>
      </c>
      <c r="R275" s="1575"/>
      <c r="S275" s="1575"/>
      <c r="T275" s="1575"/>
      <c r="U275" s="1575"/>
    </row>
    <row r="276" spans="1:21" ht="10.9" customHeight="1">
      <c r="A276" s="1574" t="s">
        <v>1322</v>
      </c>
      <c r="B276" s="1574"/>
      <c r="C276" s="1574" t="s">
        <v>1489</v>
      </c>
      <c r="D276" s="1574"/>
      <c r="E276" s="1574"/>
      <c r="F276" s="1574" t="s">
        <v>2098</v>
      </c>
      <c r="G276" s="1574"/>
      <c r="H276" s="1574"/>
      <c r="I276" s="1574"/>
      <c r="J276" s="1412">
        <v>0</v>
      </c>
      <c r="K276" s="1412">
        <v>0</v>
      </c>
      <c r="L276" s="1412">
        <v>186.69</v>
      </c>
      <c r="M276" s="1575">
        <v>186.69</v>
      </c>
      <c r="N276" s="1575"/>
      <c r="O276" s="1575">
        <v>0</v>
      </c>
      <c r="P276" s="1575"/>
      <c r="Q276" s="1575">
        <v>0</v>
      </c>
      <c r="R276" s="1575"/>
      <c r="S276" s="1575"/>
      <c r="T276" s="1575"/>
      <c r="U276" s="1575"/>
    </row>
    <row r="277" spans="1:21" ht="10.9" customHeight="1">
      <c r="A277" s="1574" t="s">
        <v>1322</v>
      </c>
      <c r="B277" s="1574"/>
      <c r="C277" s="1574" t="s">
        <v>1490</v>
      </c>
      <c r="D277" s="1574"/>
      <c r="E277" s="1574"/>
      <c r="F277" s="1574" t="s">
        <v>2099</v>
      </c>
      <c r="G277" s="1574"/>
      <c r="H277" s="1574"/>
      <c r="I277" s="1574"/>
      <c r="J277" s="1412">
        <v>0</v>
      </c>
      <c r="K277" s="1412">
        <v>0</v>
      </c>
      <c r="L277" s="1412">
        <v>151997.96</v>
      </c>
      <c r="M277" s="1575">
        <v>151997.96</v>
      </c>
      <c r="N277" s="1575"/>
      <c r="O277" s="1575">
        <v>0</v>
      </c>
      <c r="P277" s="1575"/>
      <c r="Q277" s="1575">
        <v>0</v>
      </c>
      <c r="R277" s="1575"/>
      <c r="S277" s="1575"/>
      <c r="T277" s="1575"/>
      <c r="U277" s="1575"/>
    </row>
    <row r="278" spans="1:21" ht="10.9" customHeight="1">
      <c r="A278" s="1574" t="s">
        <v>1322</v>
      </c>
      <c r="B278" s="1574"/>
      <c r="C278" s="1574" t="s">
        <v>3096</v>
      </c>
      <c r="D278" s="1574"/>
      <c r="E278" s="1574"/>
      <c r="F278" s="1574" t="s">
        <v>3097</v>
      </c>
      <c r="G278" s="1574"/>
      <c r="H278" s="1574"/>
      <c r="I278" s="1574"/>
      <c r="J278" s="1412">
        <v>0</v>
      </c>
      <c r="K278" s="1412">
        <v>0</v>
      </c>
      <c r="L278" s="1412">
        <v>0</v>
      </c>
      <c r="M278" s="1575">
        <v>0</v>
      </c>
      <c r="N278" s="1575"/>
      <c r="O278" s="1575">
        <v>0</v>
      </c>
      <c r="P278" s="1575"/>
      <c r="Q278" s="1575">
        <v>0</v>
      </c>
      <c r="R278" s="1575"/>
      <c r="S278" s="1575"/>
      <c r="T278" s="1575"/>
      <c r="U278" s="1575"/>
    </row>
    <row r="279" spans="1:21" ht="10.9" customHeight="1">
      <c r="A279" s="1574" t="s">
        <v>1322</v>
      </c>
      <c r="B279" s="1574"/>
      <c r="C279" s="1574" t="s">
        <v>1778</v>
      </c>
      <c r="D279" s="1574"/>
      <c r="E279" s="1574"/>
      <c r="F279" s="1574" t="s">
        <v>2100</v>
      </c>
      <c r="G279" s="1574"/>
      <c r="H279" s="1574"/>
      <c r="I279" s="1574"/>
      <c r="J279" s="1412">
        <v>28975.86</v>
      </c>
      <c r="K279" s="1412">
        <v>0</v>
      </c>
      <c r="L279" s="1412">
        <v>14262.59</v>
      </c>
      <c r="M279" s="1575">
        <v>14363.27</v>
      </c>
      <c r="N279" s="1575"/>
      <c r="O279" s="1575">
        <v>28875.18</v>
      </c>
      <c r="P279" s="1575"/>
      <c r="Q279" s="1575">
        <v>0</v>
      </c>
      <c r="R279" s="1575"/>
      <c r="S279" s="1575"/>
      <c r="T279" s="1575"/>
      <c r="U279" s="1575"/>
    </row>
    <row r="280" spans="1:21" ht="10.9" customHeight="1">
      <c r="A280" s="1574" t="s">
        <v>1322</v>
      </c>
      <c r="B280" s="1574"/>
      <c r="C280" s="1574" t="s">
        <v>1491</v>
      </c>
      <c r="D280" s="1574"/>
      <c r="E280" s="1574"/>
      <c r="F280" s="1574" t="s">
        <v>2101</v>
      </c>
      <c r="G280" s="1574"/>
      <c r="H280" s="1574"/>
      <c r="I280" s="1574"/>
      <c r="J280" s="1412">
        <v>15762.95</v>
      </c>
      <c r="K280" s="1412">
        <v>0</v>
      </c>
      <c r="L280" s="1412">
        <v>14958.71</v>
      </c>
      <c r="M280" s="1575">
        <v>30721.66</v>
      </c>
      <c r="N280" s="1575"/>
      <c r="O280" s="1575">
        <v>0</v>
      </c>
      <c r="P280" s="1575"/>
      <c r="Q280" s="1575">
        <v>0</v>
      </c>
      <c r="R280" s="1575"/>
      <c r="S280" s="1575"/>
      <c r="T280" s="1575"/>
      <c r="U280" s="1575"/>
    </row>
    <row r="281" spans="1:21" ht="10.9" customHeight="1">
      <c r="A281" s="1574" t="s">
        <v>1322</v>
      </c>
      <c r="B281" s="1574"/>
      <c r="C281" s="1574" t="s">
        <v>1492</v>
      </c>
      <c r="D281" s="1574"/>
      <c r="E281" s="1574"/>
      <c r="F281" s="1574" t="s">
        <v>2102</v>
      </c>
      <c r="G281" s="1574"/>
      <c r="H281" s="1574"/>
      <c r="I281" s="1574"/>
      <c r="J281" s="1412">
        <v>0</v>
      </c>
      <c r="K281" s="1412">
        <v>0</v>
      </c>
      <c r="L281" s="1412">
        <v>1621.16</v>
      </c>
      <c r="M281" s="1575">
        <v>1621.16</v>
      </c>
      <c r="N281" s="1575"/>
      <c r="O281" s="1575">
        <v>0</v>
      </c>
      <c r="P281" s="1575"/>
      <c r="Q281" s="1575">
        <v>0</v>
      </c>
      <c r="R281" s="1575"/>
      <c r="S281" s="1575"/>
      <c r="T281" s="1575"/>
      <c r="U281" s="1575"/>
    </row>
    <row r="282" spans="1:21" ht="10.9" customHeight="1">
      <c r="A282" s="1574" t="s">
        <v>1322</v>
      </c>
      <c r="B282" s="1574"/>
      <c r="C282" s="1574" t="s">
        <v>1493</v>
      </c>
      <c r="D282" s="1574"/>
      <c r="E282" s="1574"/>
      <c r="F282" s="1574" t="s">
        <v>2103</v>
      </c>
      <c r="G282" s="1574"/>
      <c r="H282" s="1574"/>
      <c r="I282" s="1574"/>
      <c r="J282" s="1412">
        <v>0</v>
      </c>
      <c r="K282" s="1412">
        <v>0</v>
      </c>
      <c r="L282" s="1412">
        <v>0</v>
      </c>
      <c r="M282" s="1575">
        <v>0</v>
      </c>
      <c r="N282" s="1575"/>
      <c r="O282" s="1575">
        <v>0</v>
      </c>
      <c r="P282" s="1575"/>
      <c r="Q282" s="1575">
        <v>0</v>
      </c>
      <c r="R282" s="1575"/>
      <c r="S282" s="1575"/>
      <c r="T282" s="1575"/>
      <c r="U282" s="1575"/>
    </row>
    <row r="283" spans="1:21" ht="10.9" customHeight="1">
      <c r="A283" s="1574" t="s">
        <v>1322</v>
      </c>
      <c r="B283" s="1574"/>
      <c r="C283" s="1574" t="s">
        <v>1494</v>
      </c>
      <c r="D283" s="1574"/>
      <c r="E283" s="1574"/>
      <c r="F283" s="1574" t="s">
        <v>2104</v>
      </c>
      <c r="G283" s="1574"/>
      <c r="H283" s="1574"/>
      <c r="I283" s="1574"/>
      <c r="J283" s="1412">
        <v>0</v>
      </c>
      <c r="K283" s="1412">
        <v>0</v>
      </c>
      <c r="L283" s="1412">
        <v>0</v>
      </c>
      <c r="M283" s="1575">
        <v>0</v>
      </c>
      <c r="N283" s="1575"/>
      <c r="O283" s="1575">
        <v>0</v>
      </c>
      <c r="P283" s="1575"/>
      <c r="Q283" s="1575">
        <v>0</v>
      </c>
      <c r="R283" s="1575"/>
      <c r="S283" s="1575"/>
      <c r="T283" s="1575"/>
      <c r="U283" s="1575"/>
    </row>
    <row r="284" spans="1:21" ht="11.1" customHeight="1">
      <c r="A284" s="1574" t="s">
        <v>1322</v>
      </c>
      <c r="B284" s="1574"/>
      <c r="C284" s="1574" t="s">
        <v>1495</v>
      </c>
      <c r="D284" s="1574"/>
      <c r="E284" s="1574"/>
      <c r="F284" s="1574" t="s">
        <v>2105</v>
      </c>
      <c r="G284" s="1574"/>
      <c r="H284" s="1574"/>
      <c r="I284" s="1574"/>
      <c r="J284" s="1412">
        <v>698.85</v>
      </c>
      <c r="K284" s="1412">
        <v>0</v>
      </c>
      <c r="L284" s="1412">
        <v>0</v>
      </c>
      <c r="M284" s="1575">
        <v>0</v>
      </c>
      <c r="N284" s="1575"/>
      <c r="O284" s="1575">
        <v>698.85</v>
      </c>
      <c r="P284" s="1575"/>
      <c r="Q284" s="1575">
        <v>0</v>
      </c>
      <c r="R284" s="1575"/>
      <c r="S284" s="1575"/>
      <c r="T284" s="1575"/>
      <c r="U284" s="1575"/>
    </row>
    <row r="285" spans="1:21" ht="10.9" customHeight="1">
      <c r="A285" s="1574" t="s">
        <v>1322</v>
      </c>
      <c r="B285" s="1574"/>
      <c r="C285" s="1574" t="s">
        <v>1496</v>
      </c>
      <c r="D285" s="1574"/>
      <c r="E285" s="1574"/>
      <c r="F285" s="1574" t="s">
        <v>1303</v>
      </c>
      <c r="G285" s="1574"/>
      <c r="H285" s="1574"/>
      <c r="I285" s="1574"/>
      <c r="J285" s="1412">
        <v>0</v>
      </c>
      <c r="K285" s="1412">
        <v>0</v>
      </c>
      <c r="L285" s="1412">
        <v>0</v>
      </c>
      <c r="M285" s="1575">
        <v>0</v>
      </c>
      <c r="N285" s="1575"/>
      <c r="O285" s="1575">
        <v>0</v>
      </c>
      <c r="P285" s="1575"/>
      <c r="Q285" s="1575">
        <v>0</v>
      </c>
      <c r="R285" s="1575"/>
      <c r="S285" s="1575"/>
      <c r="T285" s="1575"/>
      <c r="U285" s="1575"/>
    </row>
    <row r="286" spans="1:21" ht="19.149999999999999" customHeight="1">
      <c r="A286" s="1574" t="s">
        <v>1322</v>
      </c>
      <c r="B286" s="1574"/>
      <c r="C286" s="1574" t="s">
        <v>5771</v>
      </c>
      <c r="D286" s="1574"/>
      <c r="E286" s="1574"/>
      <c r="F286" s="1574" t="s">
        <v>5772</v>
      </c>
      <c r="G286" s="1574"/>
      <c r="H286" s="1574"/>
      <c r="I286" s="1574"/>
      <c r="J286" s="1412">
        <v>0</v>
      </c>
      <c r="K286" s="1412">
        <v>0</v>
      </c>
      <c r="L286" s="1412">
        <v>0</v>
      </c>
      <c r="M286" s="1575">
        <v>0</v>
      </c>
      <c r="N286" s="1575"/>
      <c r="O286" s="1575">
        <v>0</v>
      </c>
      <c r="P286" s="1575"/>
      <c r="Q286" s="1575">
        <v>0</v>
      </c>
      <c r="R286" s="1575"/>
      <c r="S286" s="1575"/>
      <c r="T286" s="1575"/>
      <c r="U286" s="1575"/>
    </row>
    <row r="287" spans="1:21" ht="10.9" customHeight="1">
      <c r="A287" s="1574" t="s">
        <v>1322</v>
      </c>
      <c r="B287" s="1574"/>
      <c r="C287" s="1574" t="s">
        <v>1497</v>
      </c>
      <c r="D287" s="1574"/>
      <c r="E287" s="1574"/>
      <c r="F287" s="1574" t="s">
        <v>2106</v>
      </c>
      <c r="G287" s="1574"/>
      <c r="H287" s="1574"/>
      <c r="I287" s="1574"/>
      <c r="J287" s="1412">
        <v>0</v>
      </c>
      <c r="K287" s="1412">
        <v>0</v>
      </c>
      <c r="L287" s="1412">
        <v>8557.2900000000009</v>
      </c>
      <c r="M287" s="1575">
        <v>8557.2900000000009</v>
      </c>
      <c r="N287" s="1575"/>
      <c r="O287" s="1575">
        <v>0</v>
      </c>
      <c r="P287" s="1575"/>
      <c r="Q287" s="1575">
        <v>0</v>
      </c>
      <c r="R287" s="1575"/>
      <c r="S287" s="1575"/>
      <c r="T287" s="1575"/>
      <c r="U287" s="1575"/>
    </row>
    <row r="288" spans="1:21" ht="10.9" customHeight="1">
      <c r="A288" s="1574" t="s">
        <v>1322</v>
      </c>
      <c r="B288" s="1574"/>
      <c r="C288" s="1574" t="s">
        <v>1498</v>
      </c>
      <c r="D288" s="1574"/>
      <c r="E288" s="1574"/>
      <c r="F288" s="1574" t="s">
        <v>2107</v>
      </c>
      <c r="G288" s="1574"/>
      <c r="H288" s="1574"/>
      <c r="I288" s="1574"/>
      <c r="J288" s="1412">
        <v>759.48</v>
      </c>
      <c r="K288" s="1412">
        <v>0</v>
      </c>
      <c r="L288" s="1412">
        <v>799.12</v>
      </c>
      <c r="M288" s="1575">
        <v>799.12</v>
      </c>
      <c r="N288" s="1575"/>
      <c r="O288" s="1575">
        <v>759.48</v>
      </c>
      <c r="P288" s="1575"/>
      <c r="Q288" s="1575">
        <v>0</v>
      </c>
      <c r="R288" s="1575"/>
      <c r="S288" s="1575"/>
      <c r="T288" s="1575"/>
      <c r="U288" s="1575"/>
    </row>
    <row r="289" spans="1:21" ht="10.9" customHeight="1">
      <c r="A289" s="1574" t="s">
        <v>1322</v>
      </c>
      <c r="B289" s="1574"/>
      <c r="C289" s="1574" t="s">
        <v>1499</v>
      </c>
      <c r="D289" s="1574"/>
      <c r="E289" s="1574"/>
      <c r="F289" s="1574" t="s">
        <v>2108</v>
      </c>
      <c r="G289" s="1574"/>
      <c r="H289" s="1574"/>
      <c r="I289" s="1574"/>
      <c r="J289" s="1412">
        <v>38703.51</v>
      </c>
      <c r="K289" s="1412">
        <v>0</v>
      </c>
      <c r="L289" s="1412">
        <v>0</v>
      </c>
      <c r="M289" s="1575">
        <v>0</v>
      </c>
      <c r="N289" s="1575"/>
      <c r="O289" s="1575">
        <v>38703.51</v>
      </c>
      <c r="P289" s="1575"/>
      <c r="Q289" s="1575">
        <v>0</v>
      </c>
      <c r="R289" s="1575"/>
      <c r="S289" s="1575"/>
      <c r="T289" s="1575"/>
      <c r="U289" s="1575"/>
    </row>
    <row r="290" spans="1:21" ht="10.9" customHeight="1">
      <c r="A290" s="1574" t="s">
        <v>1322</v>
      </c>
      <c r="B290" s="1574"/>
      <c r="C290" s="1574" t="s">
        <v>1500</v>
      </c>
      <c r="D290" s="1574"/>
      <c r="E290" s="1574"/>
      <c r="F290" s="1574" t="s">
        <v>2109</v>
      </c>
      <c r="G290" s="1574"/>
      <c r="H290" s="1574"/>
      <c r="I290" s="1574"/>
      <c r="J290" s="1412">
        <v>25069.599999999999</v>
      </c>
      <c r="K290" s="1412">
        <v>0</v>
      </c>
      <c r="L290" s="1412">
        <v>0</v>
      </c>
      <c r="M290" s="1575">
        <v>0</v>
      </c>
      <c r="N290" s="1575"/>
      <c r="O290" s="1575">
        <v>25069.599999999999</v>
      </c>
      <c r="P290" s="1575"/>
      <c r="Q290" s="1575">
        <v>0</v>
      </c>
      <c r="R290" s="1575"/>
      <c r="S290" s="1575"/>
      <c r="T290" s="1575"/>
      <c r="U290" s="1575"/>
    </row>
    <row r="291" spans="1:21" ht="10.9" customHeight="1">
      <c r="A291" s="1574" t="s">
        <v>1322</v>
      </c>
      <c r="B291" s="1574"/>
      <c r="C291" s="1574" t="s">
        <v>1501</v>
      </c>
      <c r="D291" s="1574"/>
      <c r="E291" s="1574"/>
      <c r="F291" s="1574" t="s">
        <v>2110</v>
      </c>
      <c r="G291" s="1574"/>
      <c r="H291" s="1574"/>
      <c r="I291" s="1574"/>
      <c r="J291" s="1412">
        <v>0</v>
      </c>
      <c r="K291" s="1412">
        <v>0</v>
      </c>
      <c r="L291" s="1412">
        <v>4304.34</v>
      </c>
      <c r="M291" s="1575">
        <v>0</v>
      </c>
      <c r="N291" s="1575"/>
      <c r="O291" s="1575">
        <v>4304.34</v>
      </c>
      <c r="P291" s="1575"/>
      <c r="Q291" s="1575">
        <v>0</v>
      </c>
      <c r="R291" s="1575"/>
      <c r="S291" s="1575"/>
      <c r="T291" s="1575"/>
      <c r="U291" s="1575"/>
    </row>
    <row r="292" spans="1:21" ht="10.9" customHeight="1">
      <c r="A292" s="1574" t="s">
        <v>1322</v>
      </c>
      <c r="B292" s="1574"/>
      <c r="C292" s="1574" t="s">
        <v>1502</v>
      </c>
      <c r="D292" s="1574"/>
      <c r="E292" s="1574"/>
      <c r="F292" s="1574" t="s">
        <v>2111</v>
      </c>
      <c r="G292" s="1574"/>
      <c r="H292" s="1574"/>
      <c r="I292" s="1574"/>
      <c r="J292" s="1412">
        <v>3349.49</v>
      </c>
      <c r="K292" s="1412">
        <v>0</v>
      </c>
      <c r="L292" s="1412">
        <v>1656.31</v>
      </c>
      <c r="M292" s="1575">
        <v>5005.8</v>
      </c>
      <c r="N292" s="1575"/>
      <c r="O292" s="1575">
        <v>0</v>
      </c>
      <c r="P292" s="1575"/>
      <c r="Q292" s="1575">
        <v>0</v>
      </c>
      <c r="R292" s="1575"/>
      <c r="S292" s="1575"/>
      <c r="T292" s="1575"/>
      <c r="U292" s="1575"/>
    </row>
    <row r="293" spans="1:21" ht="10.9" customHeight="1">
      <c r="A293" s="1574" t="s">
        <v>1322</v>
      </c>
      <c r="B293" s="1574"/>
      <c r="C293" s="1574" t="s">
        <v>1779</v>
      </c>
      <c r="D293" s="1574"/>
      <c r="E293" s="1574"/>
      <c r="F293" s="1574" t="s">
        <v>2112</v>
      </c>
      <c r="G293" s="1574"/>
      <c r="H293" s="1574"/>
      <c r="I293" s="1574"/>
      <c r="J293" s="1412">
        <v>0</v>
      </c>
      <c r="K293" s="1412">
        <v>0</v>
      </c>
      <c r="L293" s="1412">
        <v>1536.24</v>
      </c>
      <c r="M293" s="1575">
        <v>1536.24</v>
      </c>
      <c r="N293" s="1575"/>
      <c r="O293" s="1575">
        <v>0</v>
      </c>
      <c r="P293" s="1575"/>
      <c r="Q293" s="1575">
        <v>0</v>
      </c>
      <c r="R293" s="1575"/>
      <c r="S293" s="1575"/>
      <c r="T293" s="1575"/>
      <c r="U293" s="1575"/>
    </row>
    <row r="294" spans="1:21" ht="19.149999999999999" customHeight="1">
      <c r="A294" s="1574" t="s">
        <v>1322</v>
      </c>
      <c r="B294" s="1574"/>
      <c r="C294" s="1574" t="s">
        <v>2113</v>
      </c>
      <c r="D294" s="1574"/>
      <c r="E294" s="1574"/>
      <c r="F294" s="1574" t="s">
        <v>2114</v>
      </c>
      <c r="G294" s="1574"/>
      <c r="H294" s="1574"/>
      <c r="I294" s="1574"/>
      <c r="J294" s="1412">
        <v>0</v>
      </c>
      <c r="K294" s="1412">
        <v>0</v>
      </c>
      <c r="L294" s="1412">
        <v>4500.75</v>
      </c>
      <c r="M294" s="1575">
        <v>4500.75</v>
      </c>
      <c r="N294" s="1575"/>
      <c r="O294" s="1575">
        <v>0</v>
      </c>
      <c r="P294" s="1575"/>
      <c r="Q294" s="1575">
        <v>0</v>
      </c>
      <c r="R294" s="1575"/>
      <c r="S294" s="1575"/>
      <c r="T294" s="1575"/>
      <c r="U294" s="1575"/>
    </row>
    <row r="295" spans="1:21" ht="10.9" customHeight="1">
      <c r="A295" s="1574" t="s">
        <v>1322</v>
      </c>
      <c r="B295" s="1574"/>
      <c r="C295" s="1574" t="s">
        <v>1503</v>
      </c>
      <c r="D295" s="1574"/>
      <c r="E295" s="1574"/>
      <c r="F295" s="1574" t="s">
        <v>2115</v>
      </c>
      <c r="G295" s="1574"/>
      <c r="H295" s="1574"/>
      <c r="I295" s="1574"/>
      <c r="J295" s="1412">
        <v>9718.2900000000009</v>
      </c>
      <c r="K295" s="1412">
        <v>0</v>
      </c>
      <c r="L295" s="1412">
        <v>3439.87</v>
      </c>
      <c r="M295" s="1575">
        <v>3173.1</v>
      </c>
      <c r="N295" s="1575"/>
      <c r="O295" s="1575">
        <v>9985.06</v>
      </c>
      <c r="P295" s="1575"/>
      <c r="Q295" s="1575">
        <v>0</v>
      </c>
      <c r="R295" s="1575"/>
      <c r="S295" s="1575"/>
      <c r="T295" s="1575"/>
      <c r="U295" s="1575"/>
    </row>
    <row r="296" spans="1:21" ht="10.9" customHeight="1">
      <c r="A296" s="1574" t="s">
        <v>1322</v>
      </c>
      <c r="B296" s="1574"/>
      <c r="C296" s="1574" t="s">
        <v>1504</v>
      </c>
      <c r="D296" s="1574"/>
      <c r="E296" s="1574"/>
      <c r="F296" s="1574" t="s">
        <v>2116</v>
      </c>
      <c r="G296" s="1574"/>
      <c r="H296" s="1574"/>
      <c r="I296" s="1574"/>
      <c r="J296" s="1412">
        <v>0</v>
      </c>
      <c r="K296" s="1412">
        <v>0</v>
      </c>
      <c r="L296" s="1412">
        <v>2281.44</v>
      </c>
      <c r="M296" s="1575">
        <v>2281.44</v>
      </c>
      <c r="N296" s="1575"/>
      <c r="O296" s="1575">
        <v>0</v>
      </c>
      <c r="P296" s="1575"/>
      <c r="Q296" s="1575">
        <v>0</v>
      </c>
      <c r="R296" s="1575"/>
      <c r="S296" s="1575"/>
      <c r="T296" s="1575"/>
      <c r="U296" s="1575"/>
    </row>
    <row r="297" spans="1:21" ht="10.9" customHeight="1">
      <c r="A297" s="1574" t="s">
        <v>1322</v>
      </c>
      <c r="B297" s="1574"/>
      <c r="C297" s="1574" t="s">
        <v>1505</v>
      </c>
      <c r="D297" s="1574"/>
      <c r="E297" s="1574"/>
      <c r="F297" s="1574" t="s">
        <v>2117</v>
      </c>
      <c r="G297" s="1574"/>
      <c r="H297" s="1574"/>
      <c r="I297" s="1574"/>
      <c r="J297" s="1412">
        <v>91146.73</v>
      </c>
      <c r="K297" s="1412">
        <v>0</v>
      </c>
      <c r="L297" s="1412">
        <v>92352.09</v>
      </c>
      <c r="M297" s="1575">
        <v>183498.82</v>
      </c>
      <c r="N297" s="1575"/>
      <c r="O297" s="1575">
        <v>0</v>
      </c>
      <c r="P297" s="1575"/>
      <c r="Q297" s="1575">
        <v>0</v>
      </c>
      <c r="R297" s="1575"/>
      <c r="S297" s="1575"/>
      <c r="T297" s="1575"/>
      <c r="U297" s="1575"/>
    </row>
    <row r="298" spans="1:21" ht="10.9" customHeight="1">
      <c r="A298" s="1574" t="s">
        <v>1322</v>
      </c>
      <c r="B298" s="1574"/>
      <c r="C298" s="1574" t="s">
        <v>1506</v>
      </c>
      <c r="D298" s="1574"/>
      <c r="E298" s="1574"/>
      <c r="F298" s="1574" t="s">
        <v>2118</v>
      </c>
      <c r="G298" s="1574"/>
      <c r="H298" s="1574"/>
      <c r="I298" s="1574"/>
      <c r="J298" s="1412">
        <v>3903.39</v>
      </c>
      <c r="K298" s="1412">
        <v>0</v>
      </c>
      <c r="L298" s="1412">
        <v>4325.53</v>
      </c>
      <c r="M298" s="1575">
        <v>8228.92</v>
      </c>
      <c r="N298" s="1575"/>
      <c r="O298" s="1575">
        <v>0</v>
      </c>
      <c r="P298" s="1575"/>
      <c r="Q298" s="1575">
        <v>0</v>
      </c>
      <c r="R298" s="1575"/>
      <c r="S298" s="1575"/>
      <c r="T298" s="1575"/>
      <c r="U298" s="1575"/>
    </row>
    <row r="299" spans="1:21" ht="10.9" customHeight="1">
      <c r="A299" s="1574" t="s">
        <v>1322</v>
      </c>
      <c r="B299" s="1574"/>
      <c r="C299" s="1574" t="s">
        <v>2868</v>
      </c>
      <c r="D299" s="1574"/>
      <c r="E299" s="1574"/>
      <c r="F299" s="1574" t="s">
        <v>2869</v>
      </c>
      <c r="G299" s="1574"/>
      <c r="H299" s="1574"/>
      <c r="I299" s="1574"/>
      <c r="J299" s="1412">
        <v>0</v>
      </c>
      <c r="K299" s="1412">
        <v>0</v>
      </c>
      <c r="L299" s="1412">
        <v>6985.67</v>
      </c>
      <c r="M299" s="1575">
        <v>6985.67</v>
      </c>
      <c r="N299" s="1575"/>
      <c r="O299" s="1575">
        <v>0</v>
      </c>
      <c r="P299" s="1575"/>
      <c r="Q299" s="1575">
        <v>0</v>
      </c>
      <c r="R299" s="1575"/>
      <c r="S299" s="1575"/>
      <c r="T299" s="1575"/>
      <c r="U299" s="1575"/>
    </row>
    <row r="300" spans="1:21" ht="10.9" customHeight="1">
      <c r="A300" s="1574" t="s">
        <v>1322</v>
      </c>
      <c r="B300" s="1574"/>
      <c r="C300" s="1574" t="s">
        <v>1704</v>
      </c>
      <c r="D300" s="1574"/>
      <c r="E300" s="1574"/>
      <c r="F300" s="1574" t="s">
        <v>2119</v>
      </c>
      <c r="G300" s="1574"/>
      <c r="H300" s="1574"/>
      <c r="I300" s="1574"/>
      <c r="J300" s="1412">
        <v>0</v>
      </c>
      <c r="K300" s="1412">
        <v>0</v>
      </c>
      <c r="L300" s="1412">
        <v>122.1</v>
      </c>
      <c r="M300" s="1575">
        <v>122.1</v>
      </c>
      <c r="N300" s="1575"/>
      <c r="O300" s="1575">
        <v>0</v>
      </c>
      <c r="P300" s="1575"/>
      <c r="Q300" s="1575">
        <v>0</v>
      </c>
      <c r="R300" s="1575"/>
      <c r="S300" s="1575"/>
      <c r="T300" s="1575"/>
      <c r="U300" s="1575"/>
    </row>
    <row r="301" spans="1:21" ht="10.9" customHeight="1">
      <c r="A301" s="1574" t="s">
        <v>1322</v>
      </c>
      <c r="B301" s="1574"/>
      <c r="C301" s="1574" t="s">
        <v>1507</v>
      </c>
      <c r="D301" s="1574"/>
      <c r="E301" s="1574"/>
      <c r="F301" s="1574" t="s">
        <v>2120</v>
      </c>
      <c r="G301" s="1574"/>
      <c r="H301" s="1574"/>
      <c r="I301" s="1574"/>
      <c r="J301" s="1412">
        <v>0</v>
      </c>
      <c r="K301" s="1412">
        <v>0</v>
      </c>
      <c r="L301" s="1412">
        <v>138559.70000000001</v>
      </c>
      <c r="M301" s="1575">
        <v>138559.70000000001</v>
      </c>
      <c r="N301" s="1575"/>
      <c r="O301" s="1575">
        <v>0</v>
      </c>
      <c r="P301" s="1575"/>
      <c r="Q301" s="1575">
        <v>0</v>
      </c>
      <c r="R301" s="1575"/>
      <c r="S301" s="1575"/>
      <c r="T301" s="1575"/>
      <c r="U301" s="1575"/>
    </row>
    <row r="302" spans="1:21" ht="10.9" customHeight="1">
      <c r="A302" s="1574" t="s">
        <v>1322</v>
      </c>
      <c r="B302" s="1574"/>
      <c r="C302" s="1574" t="s">
        <v>1780</v>
      </c>
      <c r="D302" s="1574"/>
      <c r="E302" s="1574"/>
      <c r="F302" s="1574" t="s">
        <v>2121</v>
      </c>
      <c r="G302" s="1574"/>
      <c r="H302" s="1574"/>
      <c r="I302" s="1574"/>
      <c r="J302" s="1412">
        <v>4437.51</v>
      </c>
      <c r="K302" s="1412">
        <v>0</v>
      </c>
      <c r="L302" s="1412">
        <v>4125.5</v>
      </c>
      <c r="M302" s="1575">
        <v>4125.5</v>
      </c>
      <c r="N302" s="1575"/>
      <c r="O302" s="1575">
        <v>4437.51</v>
      </c>
      <c r="P302" s="1575"/>
      <c r="Q302" s="1575">
        <v>0</v>
      </c>
      <c r="R302" s="1575"/>
      <c r="S302" s="1575"/>
      <c r="T302" s="1575"/>
      <c r="U302" s="1575"/>
    </row>
    <row r="303" spans="1:21" ht="10.9" customHeight="1">
      <c r="A303" s="1574" t="s">
        <v>1322</v>
      </c>
      <c r="B303" s="1574"/>
      <c r="C303" s="1574" t="s">
        <v>3098</v>
      </c>
      <c r="D303" s="1574"/>
      <c r="E303" s="1574"/>
      <c r="F303" s="1574" t="s">
        <v>3099</v>
      </c>
      <c r="G303" s="1574"/>
      <c r="H303" s="1574"/>
      <c r="I303" s="1574"/>
      <c r="J303" s="1412">
        <v>0</v>
      </c>
      <c r="K303" s="1412">
        <v>0</v>
      </c>
      <c r="L303" s="1412">
        <v>0</v>
      </c>
      <c r="M303" s="1575">
        <v>0</v>
      </c>
      <c r="N303" s="1575"/>
      <c r="O303" s="1575">
        <v>0</v>
      </c>
      <c r="P303" s="1575"/>
      <c r="Q303" s="1575">
        <v>0</v>
      </c>
      <c r="R303" s="1575"/>
      <c r="S303" s="1575"/>
      <c r="T303" s="1575"/>
      <c r="U303" s="1575"/>
    </row>
    <row r="304" spans="1:21" ht="10.9" customHeight="1">
      <c r="A304" s="1574" t="s">
        <v>1322</v>
      </c>
      <c r="B304" s="1574"/>
      <c r="C304" s="1574" t="s">
        <v>1763</v>
      </c>
      <c r="D304" s="1574"/>
      <c r="E304" s="1574"/>
      <c r="F304" s="1574" t="s">
        <v>2123</v>
      </c>
      <c r="G304" s="1574"/>
      <c r="H304" s="1574"/>
      <c r="I304" s="1574"/>
      <c r="J304" s="1412">
        <v>1600.76</v>
      </c>
      <c r="K304" s="1412">
        <v>0</v>
      </c>
      <c r="L304" s="1412">
        <v>8782.14</v>
      </c>
      <c r="M304" s="1575">
        <v>8782.14</v>
      </c>
      <c r="N304" s="1575"/>
      <c r="O304" s="1575">
        <v>1600.76</v>
      </c>
      <c r="P304" s="1575"/>
      <c r="Q304" s="1575">
        <v>0</v>
      </c>
      <c r="R304" s="1575"/>
      <c r="S304" s="1575"/>
      <c r="T304" s="1575"/>
      <c r="U304" s="1575"/>
    </row>
    <row r="305" spans="1:23" ht="16.5" customHeight="1"/>
    <row r="306" spans="1:23" ht="14.1" customHeight="1">
      <c r="S306" s="1573" t="s">
        <v>2122</v>
      </c>
      <c r="T306" s="1573"/>
      <c r="U306" s="1573"/>
      <c r="V306" s="1573"/>
      <c r="W306" s="1573"/>
    </row>
    <row r="307" spans="1:23" ht="7.15" customHeight="1">
      <c r="C307" s="1586" t="s">
        <v>2987</v>
      </c>
      <c r="D307" s="1586"/>
      <c r="E307" s="1586"/>
      <c r="F307" s="1586"/>
      <c r="G307" s="1586"/>
      <c r="H307" s="1586"/>
      <c r="I307" s="1586"/>
      <c r="J307" s="1586"/>
      <c r="K307" s="1586"/>
      <c r="L307" s="1586"/>
      <c r="M307" s="1586"/>
      <c r="N307" s="1586"/>
      <c r="O307" s="1586"/>
      <c r="P307" s="1586"/>
      <c r="Q307" s="1586"/>
      <c r="R307" s="1586"/>
      <c r="S307" s="1586"/>
      <c r="T307" s="1586"/>
    </row>
    <row r="308" spans="1:23" ht="9.6" customHeight="1">
      <c r="A308" s="1587"/>
      <c r="B308" s="1587"/>
      <c r="C308" s="1587"/>
      <c r="D308" s="1587"/>
      <c r="E308" s="1587"/>
      <c r="F308" s="1587"/>
      <c r="G308" s="1586"/>
      <c r="H308" s="1586"/>
      <c r="I308" s="1586"/>
      <c r="J308" s="1586"/>
      <c r="K308" s="1586"/>
      <c r="L308" s="1586"/>
      <c r="M308" s="1586"/>
      <c r="N308" s="1586"/>
      <c r="O308" s="1586"/>
      <c r="P308" s="1586"/>
      <c r="Q308" s="1586"/>
      <c r="R308" s="1586"/>
      <c r="S308" s="1586"/>
      <c r="T308" s="1586"/>
    </row>
    <row r="309" spans="1:23" ht="13.35" customHeight="1">
      <c r="A309" s="1587"/>
      <c r="B309" s="1587"/>
      <c r="C309" s="1587"/>
      <c r="D309" s="1587"/>
      <c r="E309" s="1587"/>
      <c r="F309" s="1587"/>
      <c r="G309" s="1588" t="s">
        <v>79</v>
      </c>
      <c r="H309" s="1588"/>
      <c r="I309" s="1588"/>
      <c r="J309" s="1588"/>
      <c r="K309" s="1588"/>
      <c r="L309" s="1588"/>
      <c r="M309" s="1588"/>
      <c r="N309" s="1588"/>
      <c r="O309" s="1588"/>
      <c r="P309" s="1588"/>
      <c r="Q309" s="1588"/>
      <c r="R309" s="1588"/>
    </row>
    <row r="310" spans="1:23" ht="5.25" customHeight="1">
      <c r="A310" s="1587"/>
      <c r="B310" s="1587"/>
      <c r="C310" s="1587"/>
      <c r="D310" s="1587"/>
      <c r="E310" s="1587"/>
      <c r="F310" s="1587"/>
      <c r="G310" s="1581" t="s">
        <v>7015</v>
      </c>
      <c r="H310" s="1581"/>
      <c r="I310" s="1581"/>
      <c r="J310" s="1581"/>
      <c r="K310" s="1581"/>
      <c r="L310" s="1581"/>
      <c r="M310" s="1581"/>
      <c r="N310" s="1581"/>
      <c r="O310" s="1581"/>
      <c r="P310" s="1581"/>
      <c r="Q310" s="1581"/>
    </row>
    <row r="311" spans="1:23" ht="8.1" customHeight="1">
      <c r="B311" s="1580" t="s">
        <v>1916</v>
      </c>
      <c r="C311" s="1580"/>
      <c r="D311" s="1580"/>
      <c r="E311" s="1580"/>
      <c r="F311" s="1580"/>
      <c r="G311" s="1580"/>
      <c r="H311" s="1581"/>
      <c r="I311" s="1581"/>
      <c r="J311" s="1581"/>
      <c r="K311" s="1581"/>
      <c r="L311" s="1581"/>
      <c r="M311" s="1581"/>
      <c r="N311" s="1582" t="s">
        <v>5619</v>
      </c>
      <c r="O311" s="1582"/>
      <c r="P311" s="1582"/>
      <c r="Q311" s="1582"/>
      <c r="R311" s="1582"/>
      <c r="S311" s="1582"/>
      <c r="T311" s="1583" t="s">
        <v>7016</v>
      </c>
      <c r="U311" s="1583"/>
      <c r="V311" s="1583"/>
      <c r="W311" s="1583"/>
    </row>
    <row r="312" spans="1:23" ht="6" customHeight="1">
      <c r="B312" s="1580"/>
      <c r="C312" s="1580"/>
      <c r="D312" s="1580"/>
      <c r="E312" s="1580"/>
      <c r="F312" s="1580"/>
      <c r="G312" s="1580"/>
      <c r="H312" s="1584" t="s">
        <v>7017</v>
      </c>
      <c r="I312" s="1584"/>
      <c r="J312" s="1584"/>
      <c r="K312" s="1584"/>
      <c r="L312" s="1584"/>
      <c r="M312" s="1584"/>
      <c r="N312" s="1582"/>
      <c r="O312" s="1582"/>
      <c r="P312" s="1582"/>
      <c r="Q312" s="1582"/>
      <c r="R312" s="1582"/>
      <c r="S312" s="1582"/>
      <c r="T312" s="1583"/>
      <c r="U312" s="1583"/>
      <c r="V312" s="1583"/>
      <c r="W312" s="1583"/>
    </row>
    <row r="313" spans="1:23" ht="7.35" customHeight="1">
      <c r="B313" s="1580" t="s">
        <v>1994</v>
      </c>
      <c r="C313" s="1580"/>
      <c r="D313" s="1580"/>
      <c r="E313" s="1585"/>
      <c r="F313" s="1585"/>
      <c r="G313" s="1585"/>
      <c r="H313" s="1585"/>
      <c r="I313" s="1585"/>
      <c r="J313" s="1585"/>
      <c r="K313" s="1585"/>
      <c r="L313" s="1585"/>
      <c r="M313" s="1585"/>
      <c r="N313" s="1585"/>
      <c r="O313" s="1585"/>
      <c r="P313" s="1585"/>
      <c r="Q313" s="1585"/>
      <c r="R313" s="1582"/>
      <c r="S313" s="1582"/>
      <c r="T313" s="1582" t="s">
        <v>7018</v>
      </c>
      <c r="U313" s="1582"/>
    </row>
    <row r="314" spans="1:23" ht="6.75" customHeight="1">
      <c r="E314" s="1585"/>
      <c r="F314" s="1585"/>
      <c r="G314" s="1585"/>
      <c r="H314" s="1585"/>
      <c r="I314" s="1585"/>
      <c r="J314" s="1585"/>
      <c r="K314" s="1585"/>
      <c r="L314" s="1585"/>
      <c r="M314" s="1585"/>
      <c r="N314" s="1585"/>
      <c r="O314" s="1585"/>
      <c r="P314" s="1585"/>
      <c r="Q314" s="1585"/>
      <c r="R314" s="1582"/>
      <c r="S314" s="1582"/>
      <c r="T314" s="1582"/>
      <c r="U314" s="1582"/>
    </row>
    <row r="315" spans="1:23" ht="10.9" customHeight="1">
      <c r="A315" s="1576"/>
      <c r="B315" s="1576"/>
      <c r="C315" s="1576"/>
      <c r="D315" s="1576"/>
      <c r="E315" s="1576"/>
      <c r="F315" s="1576"/>
      <c r="G315" s="1576"/>
      <c r="H315" s="1576"/>
      <c r="I315" s="1576"/>
      <c r="J315" s="1577" t="s">
        <v>1314</v>
      </c>
      <c r="K315" s="1577"/>
      <c r="L315" s="1577" t="s">
        <v>1315</v>
      </c>
      <c r="M315" s="1577"/>
      <c r="N315" s="1577"/>
      <c r="O315" s="1577" t="s">
        <v>1316</v>
      </c>
      <c r="P315" s="1577"/>
      <c r="Q315" s="1577"/>
      <c r="R315" s="1577"/>
      <c r="S315" s="1577"/>
      <c r="T315" s="1577"/>
      <c r="U315" s="1577"/>
    </row>
    <row r="316" spans="1:23" ht="14.1" customHeight="1">
      <c r="A316" s="1578" t="s">
        <v>1317</v>
      </c>
      <c r="B316" s="1578"/>
      <c r="C316" s="1578" t="s">
        <v>1318</v>
      </c>
      <c r="D316" s="1578"/>
      <c r="E316" s="1578"/>
      <c r="F316" s="1578" t="s">
        <v>1319</v>
      </c>
      <c r="G316" s="1578"/>
      <c r="H316" s="1578"/>
      <c r="I316" s="1578"/>
      <c r="J316" s="1413" t="s">
        <v>1320</v>
      </c>
      <c r="K316" s="1413" t="s">
        <v>1321</v>
      </c>
      <c r="L316" s="1413" t="s">
        <v>1320</v>
      </c>
      <c r="M316" s="1579" t="s">
        <v>1321</v>
      </c>
      <c r="N316" s="1579"/>
      <c r="O316" s="1579" t="s">
        <v>1320</v>
      </c>
      <c r="P316" s="1579"/>
      <c r="Q316" s="1579" t="s">
        <v>1321</v>
      </c>
      <c r="R316" s="1579"/>
      <c r="S316" s="1579"/>
      <c r="T316" s="1579"/>
      <c r="U316" s="1579"/>
    </row>
    <row r="317" spans="1:23" ht="22.5" customHeight="1">
      <c r="A317" s="1574" t="s">
        <v>1322</v>
      </c>
      <c r="B317" s="1574"/>
      <c r="C317" s="1574" t="s">
        <v>2845</v>
      </c>
      <c r="D317" s="1574"/>
      <c r="E317" s="1574"/>
      <c r="F317" s="1574" t="s">
        <v>2846</v>
      </c>
      <c r="G317" s="1574"/>
      <c r="H317" s="1574"/>
      <c r="I317" s="1574"/>
      <c r="J317" s="1412">
        <v>0</v>
      </c>
      <c r="K317" s="1412">
        <v>0</v>
      </c>
      <c r="L317" s="1412">
        <v>13015.2</v>
      </c>
      <c r="M317" s="1575">
        <v>13015.2</v>
      </c>
      <c r="N317" s="1575"/>
      <c r="O317" s="1575">
        <v>0</v>
      </c>
      <c r="P317" s="1575"/>
      <c r="Q317" s="1575">
        <v>0</v>
      </c>
      <c r="R317" s="1575"/>
      <c r="S317" s="1575"/>
      <c r="T317" s="1575"/>
      <c r="U317" s="1575"/>
    </row>
    <row r="318" spans="1:23" ht="10.9" customHeight="1">
      <c r="A318" s="1574" t="s">
        <v>1322</v>
      </c>
      <c r="B318" s="1574"/>
      <c r="C318" s="1574" t="s">
        <v>1785</v>
      </c>
      <c r="D318" s="1574"/>
      <c r="E318" s="1574"/>
      <c r="F318" s="1574" t="s">
        <v>2124</v>
      </c>
      <c r="G318" s="1574"/>
      <c r="H318" s="1574"/>
      <c r="I318" s="1574"/>
      <c r="J318" s="1412">
        <v>0</v>
      </c>
      <c r="K318" s="1412">
        <v>0</v>
      </c>
      <c r="L318" s="1412">
        <v>2750.3</v>
      </c>
      <c r="M318" s="1575">
        <v>0</v>
      </c>
      <c r="N318" s="1575"/>
      <c r="O318" s="1575">
        <v>2750.3</v>
      </c>
      <c r="P318" s="1575"/>
      <c r="Q318" s="1575">
        <v>0</v>
      </c>
      <c r="R318" s="1575"/>
      <c r="S318" s="1575"/>
      <c r="T318" s="1575"/>
      <c r="U318" s="1575"/>
    </row>
    <row r="319" spans="1:23" ht="10.9" customHeight="1">
      <c r="A319" s="1574" t="s">
        <v>1322</v>
      </c>
      <c r="B319" s="1574"/>
      <c r="C319" s="1574" t="s">
        <v>1786</v>
      </c>
      <c r="D319" s="1574"/>
      <c r="E319" s="1574"/>
      <c r="F319" s="1574" t="s">
        <v>2125</v>
      </c>
      <c r="G319" s="1574"/>
      <c r="H319" s="1574"/>
      <c r="I319" s="1574"/>
      <c r="J319" s="1412">
        <v>19868.68</v>
      </c>
      <c r="K319" s="1412">
        <v>0</v>
      </c>
      <c r="L319" s="1412">
        <v>7248.07</v>
      </c>
      <c r="M319" s="1575">
        <v>0</v>
      </c>
      <c r="N319" s="1575"/>
      <c r="O319" s="1575">
        <v>27116.75</v>
      </c>
      <c r="P319" s="1575"/>
      <c r="Q319" s="1575">
        <v>0</v>
      </c>
      <c r="R319" s="1575"/>
      <c r="S319" s="1575"/>
      <c r="T319" s="1575"/>
      <c r="U319" s="1575"/>
    </row>
    <row r="320" spans="1:23" ht="10.9" customHeight="1">
      <c r="A320" s="1574" t="s">
        <v>1322</v>
      </c>
      <c r="B320" s="1574"/>
      <c r="C320" s="1574" t="s">
        <v>1781</v>
      </c>
      <c r="D320" s="1574"/>
      <c r="E320" s="1574"/>
      <c r="F320" s="1574" t="s">
        <v>2126</v>
      </c>
      <c r="G320" s="1574"/>
      <c r="H320" s="1574"/>
      <c r="I320" s="1574"/>
      <c r="J320" s="1412">
        <v>0</v>
      </c>
      <c r="K320" s="1412">
        <v>0</v>
      </c>
      <c r="L320" s="1412">
        <v>1037.98</v>
      </c>
      <c r="M320" s="1575">
        <v>1037.98</v>
      </c>
      <c r="N320" s="1575"/>
      <c r="O320" s="1575">
        <v>0</v>
      </c>
      <c r="P320" s="1575"/>
      <c r="Q320" s="1575">
        <v>0</v>
      </c>
      <c r="R320" s="1575"/>
      <c r="S320" s="1575"/>
      <c r="T320" s="1575"/>
      <c r="U320" s="1575"/>
    </row>
    <row r="321" spans="1:21" ht="10.9" customHeight="1">
      <c r="A321" s="1574" t="s">
        <v>1322</v>
      </c>
      <c r="B321" s="1574"/>
      <c r="C321" s="1574" t="s">
        <v>1787</v>
      </c>
      <c r="D321" s="1574"/>
      <c r="E321" s="1574"/>
      <c r="F321" s="1574" t="s">
        <v>2127</v>
      </c>
      <c r="G321" s="1574"/>
      <c r="H321" s="1574"/>
      <c r="I321" s="1574"/>
      <c r="J321" s="1412">
        <v>0</v>
      </c>
      <c r="K321" s="1412">
        <v>0</v>
      </c>
      <c r="L321" s="1412">
        <v>634.98</v>
      </c>
      <c r="M321" s="1575">
        <v>634.98</v>
      </c>
      <c r="N321" s="1575"/>
      <c r="O321" s="1575">
        <v>0</v>
      </c>
      <c r="P321" s="1575"/>
      <c r="Q321" s="1575">
        <v>0</v>
      </c>
      <c r="R321" s="1575"/>
      <c r="S321" s="1575"/>
      <c r="T321" s="1575"/>
      <c r="U321" s="1575"/>
    </row>
    <row r="322" spans="1:21" ht="10.9" customHeight="1">
      <c r="A322" s="1574" t="s">
        <v>1322</v>
      </c>
      <c r="B322" s="1574"/>
      <c r="C322" s="1574" t="s">
        <v>1788</v>
      </c>
      <c r="D322" s="1574"/>
      <c r="E322" s="1574"/>
      <c r="F322" s="1574" t="s">
        <v>2128</v>
      </c>
      <c r="G322" s="1574"/>
      <c r="H322" s="1574"/>
      <c r="I322" s="1574"/>
      <c r="J322" s="1412">
        <v>462.24</v>
      </c>
      <c r="K322" s="1412">
        <v>0</v>
      </c>
      <c r="L322" s="1412">
        <v>0</v>
      </c>
      <c r="M322" s="1575">
        <v>0</v>
      </c>
      <c r="N322" s="1575"/>
      <c r="O322" s="1575">
        <v>462.24</v>
      </c>
      <c r="P322" s="1575"/>
      <c r="Q322" s="1575">
        <v>0</v>
      </c>
      <c r="R322" s="1575"/>
      <c r="S322" s="1575"/>
      <c r="T322" s="1575"/>
      <c r="U322" s="1575"/>
    </row>
    <row r="323" spans="1:21" ht="10.9" customHeight="1">
      <c r="A323" s="1574" t="s">
        <v>1322</v>
      </c>
      <c r="B323" s="1574"/>
      <c r="C323" s="1574" t="s">
        <v>3121</v>
      </c>
      <c r="D323" s="1574"/>
      <c r="E323" s="1574"/>
      <c r="F323" s="1574" t="s">
        <v>3122</v>
      </c>
      <c r="G323" s="1574"/>
      <c r="H323" s="1574"/>
      <c r="I323" s="1574"/>
      <c r="J323" s="1412">
        <v>10198.870000000001</v>
      </c>
      <c r="K323" s="1412">
        <v>0</v>
      </c>
      <c r="L323" s="1412">
        <v>2029.78</v>
      </c>
      <c r="M323" s="1575">
        <v>12228.65</v>
      </c>
      <c r="N323" s="1575"/>
      <c r="O323" s="1575">
        <v>0</v>
      </c>
      <c r="P323" s="1575"/>
      <c r="Q323" s="1575">
        <v>0</v>
      </c>
      <c r="R323" s="1575"/>
      <c r="S323" s="1575"/>
      <c r="T323" s="1575"/>
      <c r="U323" s="1575"/>
    </row>
    <row r="324" spans="1:21" ht="10.9" customHeight="1">
      <c r="A324" s="1574" t="s">
        <v>1322</v>
      </c>
      <c r="B324" s="1574"/>
      <c r="C324" s="1574" t="s">
        <v>1796</v>
      </c>
      <c r="D324" s="1574"/>
      <c r="E324" s="1574"/>
      <c r="F324" s="1574" t="s">
        <v>2129</v>
      </c>
      <c r="G324" s="1574"/>
      <c r="H324" s="1574"/>
      <c r="I324" s="1574"/>
      <c r="J324" s="1412">
        <v>18189</v>
      </c>
      <c r="K324" s="1412">
        <v>0</v>
      </c>
      <c r="L324" s="1412">
        <v>20043.46</v>
      </c>
      <c r="M324" s="1575">
        <v>38232.46</v>
      </c>
      <c r="N324" s="1575"/>
      <c r="O324" s="1575">
        <v>0</v>
      </c>
      <c r="P324" s="1575"/>
      <c r="Q324" s="1575">
        <v>0</v>
      </c>
      <c r="R324" s="1575"/>
      <c r="S324" s="1575"/>
      <c r="T324" s="1575"/>
      <c r="U324" s="1575"/>
    </row>
    <row r="325" spans="1:21" ht="10.9" customHeight="1">
      <c r="A325" s="1574" t="s">
        <v>1322</v>
      </c>
      <c r="B325" s="1574"/>
      <c r="C325" s="1574" t="s">
        <v>1797</v>
      </c>
      <c r="D325" s="1574"/>
      <c r="E325" s="1574"/>
      <c r="F325" s="1574" t="s">
        <v>2130</v>
      </c>
      <c r="G325" s="1574"/>
      <c r="H325" s="1574"/>
      <c r="I325" s="1574"/>
      <c r="J325" s="1412">
        <v>0</v>
      </c>
      <c r="K325" s="1412">
        <v>0</v>
      </c>
      <c r="L325" s="1412">
        <v>1236.22</v>
      </c>
      <c r="M325" s="1575">
        <v>1236.22</v>
      </c>
      <c r="N325" s="1575"/>
      <c r="O325" s="1575">
        <v>0</v>
      </c>
      <c r="P325" s="1575"/>
      <c r="Q325" s="1575">
        <v>0</v>
      </c>
      <c r="R325" s="1575"/>
      <c r="S325" s="1575"/>
      <c r="T325" s="1575"/>
      <c r="U325" s="1575"/>
    </row>
    <row r="326" spans="1:21" ht="10.9" customHeight="1">
      <c r="A326" s="1574" t="s">
        <v>1322</v>
      </c>
      <c r="B326" s="1574"/>
      <c r="C326" s="1574" t="s">
        <v>1789</v>
      </c>
      <c r="D326" s="1574"/>
      <c r="E326" s="1574"/>
      <c r="F326" s="1574" t="s">
        <v>2131</v>
      </c>
      <c r="G326" s="1574"/>
      <c r="H326" s="1574"/>
      <c r="I326" s="1574"/>
      <c r="J326" s="1412">
        <v>7621.55</v>
      </c>
      <c r="K326" s="1412">
        <v>0</v>
      </c>
      <c r="L326" s="1412">
        <v>4708.8500000000004</v>
      </c>
      <c r="M326" s="1575">
        <v>0</v>
      </c>
      <c r="N326" s="1575"/>
      <c r="O326" s="1575">
        <v>12330.4</v>
      </c>
      <c r="P326" s="1575"/>
      <c r="Q326" s="1575">
        <v>0</v>
      </c>
      <c r="R326" s="1575"/>
      <c r="S326" s="1575"/>
      <c r="T326" s="1575"/>
      <c r="U326" s="1575"/>
    </row>
    <row r="327" spans="1:21" ht="10.9" customHeight="1">
      <c r="A327" s="1574" t="s">
        <v>1322</v>
      </c>
      <c r="B327" s="1574"/>
      <c r="C327" s="1574" t="s">
        <v>1790</v>
      </c>
      <c r="D327" s="1574"/>
      <c r="E327" s="1574"/>
      <c r="F327" s="1574" t="s">
        <v>2132</v>
      </c>
      <c r="G327" s="1574"/>
      <c r="H327" s="1574"/>
      <c r="I327" s="1574"/>
      <c r="J327" s="1412">
        <v>0</v>
      </c>
      <c r="K327" s="1412">
        <v>0</v>
      </c>
      <c r="L327" s="1412">
        <v>439.19</v>
      </c>
      <c r="M327" s="1575">
        <v>439.19</v>
      </c>
      <c r="N327" s="1575"/>
      <c r="O327" s="1575">
        <v>0</v>
      </c>
      <c r="P327" s="1575"/>
      <c r="Q327" s="1575">
        <v>0</v>
      </c>
      <c r="R327" s="1575"/>
      <c r="S327" s="1575"/>
      <c r="T327" s="1575"/>
      <c r="U327" s="1575"/>
    </row>
    <row r="328" spans="1:21" ht="10.9" customHeight="1">
      <c r="A328" s="1574" t="s">
        <v>1322</v>
      </c>
      <c r="B328" s="1574"/>
      <c r="C328" s="1574" t="s">
        <v>1798</v>
      </c>
      <c r="D328" s="1574"/>
      <c r="E328" s="1574"/>
      <c r="F328" s="1574" t="s">
        <v>2133</v>
      </c>
      <c r="G328" s="1574"/>
      <c r="H328" s="1574"/>
      <c r="I328" s="1574"/>
      <c r="J328" s="1412">
        <v>0</v>
      </c>
      <c r="K328" s="1412">
        <v>0</v>
      </c>
      <c r="L328" s="1412">
        <v>122.1</v>
      </c>
      <c r="M328" s="1575">
        <v>122.1</v>
      </c>
      <c r="N328" s="1575"/>
      <c r="O328" s="1575">
        <v>0</v>
      </c>
      <c r="P328" s="1575"/>
      <c r="Q328" s="1575">
        <v>0</v>
      </c>
      <c r="R328" s="1575"/>
      <c r="S328" s="1575"/>
      <c r="T328" s="1575"/>
      <c r="U328" s="1575"/>
    </row>
    <row r="329" spans="1:21" ht="10.9" customHeight="1">
      <c r="A329" s="1574" t="s">
        <v>1322</v>
      </c>
      <c r="B329" s="1574"/>
      <c r="C329" s="1574" t="s">
        <v>1791</v>
      </c>
      <c r="D329" s="1574"/>
      <c r="E329" s="1574"/>
      <c r="F329" s="1574" t="s">
        <v>2134</v>
      </c>
      <c r="G329" s="1574"/>
      <c r="H329" s="1574"/>
      <c r="I329" s="1574"/>
      <c r="J329" s="1412">
        <v>1073.3900000000001</v>
      </c>
      <c r="K329" s="1412">
        <v>0</v>
      </c>
      <c r="L329" s="1412">
        <v>914.84</v>
      </c>
      <c r="M329" s="1575">
        <v>914.84</v>
      </c>
      <c r="N329" s="1575"/>
      <c r="O329" s="1575">
        <v>1073.3900000000001</v>
      </c>
      <c r="P329" s="1575"/>
      <c r="Q329" s="1575">
        <v>0</v>
      </c>
      <c r="R329" s="1575"/>
      <c r="S329" s="1575"/>
      <c r="T329" s="1575"/>
      <c r="U329" s="1575"/>
    </row>
    <row r="330" spans="1:21" ht="10.9" customHeight="1">
      <c r="A330" s="1574" t="s">
        <v>1322</v>
      </c>
      <c r="B330" s="1574"/>
      <c r="C330" s="1574" t="s">
        <v>6531</v>
      </c>
      <c r="D330" s="1574"/>
      <c r="E330" s="1574"/>
      <c r="F330" s="1574" t="s">
        <v>6532</v>
      </c>
      <c r="G330" s="1574"/>
      <c r="H330" s="1574"/>
      <c r="I330" s="1574"/>
      <c r="J330" s="1412">
        <v>0</v>
      </c>
      <c r="K330" s="1412">
        <v>0</v>
      </c>
      <c r="L330" s="1412">
        <v>0</v>
      </c>
      <c r="M330" s="1575">
        <v>0</v>
      </c>
      <c r="N330" s="1575"/>
      <c r="O330" s="1575">
        <v>0</v>
      </c>
      <c r="P330" s="1575"/>
      <c r="Q330" s="1575">
        <v>0</v>
      </c>
      <c r="R330" s="1575"/>
      <c r="S330" s="1575"/>
      <c r="T330" s="1575"/>
      <c r="U330" s="1575"/>
    </row>
    <row r="331" spans="1:21" ht="10.9" customHeight="1">
      <c r="A331" s="1574" t="s">
        <v>1322</v>
      </c>
      <c r="B331" s="1574"/>
      <c r="C331" s="1574" t="s">
        <v>1799</v>
      </c>
      <c r="D331" s="1574"/>
      <c r="E331" s="1574"/>
      <c r="F331" s="1574" t="s">
        <v>2135</v>
      </c>
      <c r="G331" s="1574"/>
      <c r="H331" s="1574"/>
      <c r="I331" s="1574"/>
      <c r="J331" s="1412">
        <v>0</v>
      </c>
      <c r="K331" s="1412">
        <v>0</v>
      </c>
      <c r="L331" s="1412">
        <v>6421.01</v>
      </c>
      <c r="M331" s="1575">
        <v>6421.01</v>
      </c>
      <c r="N331" s="1575"/>
      <c r="O331" s="1575">
        <v>0</v>
      </c>
      <c r="P331" s="1575"/>
      <c r="Q331" s="1575">
        <v>0</v>
      </c>
      <c r="R331" s="1575"/>
      <c r="S331" s="1575"/>
      <c r="T331" s="1575"/>
      <c r="U331" s="1575"/>
    </row>
    <row r="332" spans="1:21" ht="10.9" customHeight="1">
      <c r="A332" s="1574" t="s">
        <v>1322</v>
      </c>
      <c r="B332" s="1574"/>
      <c r="C332" s="1574" t="s">
        <v>1800</v>
      </c>
      <c r="D332" s="1574"/>
      <c r="E332" s="1574"/>
      <c r="F332" s="1574" t="s">
        <v>2136</v>
      </c>
      <c r="G332" s="1574"/>
      <c r="H332" s="1574"/>
      <c r="I332" s="1574"/>
      <c r="J332" s="1412">
        <v>649.9</v>
      </c>
      <c r="K332" s="1412">
        <v>0</v>
      </c>
      <c r="L332" s="1412">
        <v>141.12</v>
      </c>
      <c r="M332" s="1575">
        <v>141.12</v>
      </c>
      <c r="N332" s="1575"/>
      <c r="O332" s="1575">
        <v>649.9</v>
      </c>
      <c r="P332" s="1575"/>
      <c r="Q332" s="1575">
        <v>0</v>
      </c>
      <c r="R332" s="1575"/>
      <c r="S332" s="1575"/>
      <c r="T332" s="1575"/>
      <c r="U332" s="1575"/>
    </row>
    <row r="333" spans="1:21" ht="10.9" customHeight="1">
      <c r="A333" s="1574" t="s">
        <v>1322</v>
      </c>
      <c r="B333" s="1574"/>
      <c r="C333" s="1574" t="s">
        <v>5773</v>
      </c>
      <c r="D333" s="1574"/>
      <c r="E333" s="1574"/>
      <c r="F333" s="1574" t="s">
        <v>5774</v>
      </c>
      <c r="G333" s="1574"/>
      <c r="H333" s="1574"/>
      <c r="I333" s="1574"/>
      <c r="J333" s="1412">
        <v>0</v>
      </c>
      <c r="K333" s="1412">
        <v>0</v>
      </c>
      <c r="L333" s="1412">
        <v>5159.03</v>
      </c>
      <c r="M333" s="1575">
        <v>5159.03</v>
      </c>
      <c r="N333" s="1575"/>
      <c r="O333" s="1575">
        <v>0</v>
      </c>
      <c r="P333" s="1575"/>
      <c r="Q333" s="1575">
        <v>0</v>
      </c>
      <c r="R333" s="1575"/>
      <c r="S333" s="1575"/>
      <c r="T333" s="1575"/>
      <c r="U333" s="1575"/>
    </row>
    <row r="334" spans="1:21" ht="10.9" customHeight="1">
      <c r="A334" s="1574" t="s">
        <v>1322</v>
      </c>
      <c r="B334" s="1574"/>
      <c r="C334" s="1574" t="s">
        <v>2951</v>
      </c>
      <c r="D334" s="1574"/>
      <c r="E334" s="1574"/>
      <c r="F334" s="1574" t="s">
        <v>2239</v>
      </c>
      <c r="G334" s="1574"/>
      <c r="H334" s="1574"/>
      <c r="I334" s="1574"/>
      <c r="J334" s="1412">
        <v>0</v>
      </c>
      <c r="K334" s="1412">
        <v>0</v>
      </c>
      <c r="L334" s="1412">
        <v>1321.11</v>
      </c>
      <c r="M334" s="1575">
        <v>1321.11</v>
      </c>
      <c r="N334" s="1575"/>
      <c r="O334" s="1575">
        <v>0</v>
      </c>
      <c r="P334" s="1575"/>
      <c r="Q334" s="1575">
        <v>0</v>
      </c>
      <c r="R334" s="1575"/>
      <c r="S334" s="1575"/>
      <c r="T334" s="1575"/>
      <c r="U334" s="1575"/>
    </row>
    <row r="335" spans="1:21" ht="10.9" customHeight="1">
      <c r="A335" s="1574" t="s">
        <v>1322</v>
      </c>
      <c r="B335" s="1574"/>
      <c r="C335" s="1574" t="s">
        <v>2137</v>
      </c>
      <c r="D335" s="1574"/>
      <c r="E335" s="1574"/>
      <c r="F335" s="1574" t="s">
        <v>2138</v>
      </c>
      <c r="G335" s="1574"/>
      <c r="H335" s="1574"/>
      <c r="I335" s="1574"/>
      <c r="J335" s="1412">
        <v>121813.21</v>
      </c>
      <c r="K335" s="1412">
        <v>0</v>
      </c>
      <c r="L335" s="1412">
        <v>124394.39</v>
      </c>
      <c r="M335" s="1575">
        <v>121813.21</v>
      </c>
      <c r="N335" s="1575"/>
      <c r="O335" s="1575">
        <v>124394.39</v>
      </c>
      <c r="P335" s="1575"/>
      <c r="Q335" s="1575">
        <v>0</v>
      </c>
      <c r="R335" s="1575"/>
      <c r="S335" s="1575"/>
      <c r="T335" s="1575"/>
      <c r="U335" s="1575"/>
    </row>
    <row r="336" spans="1:21" ht="10.9" customHeight="1">
      <c r="A336" s="1574" t="s">
        <v>1322</v>
      </c>
      <c r="B336" s="1574"/>
      <c r="C336" s="1574" t="s">
        <v>2847</v>
      </c>
      <c r="D336" s="1574"/>
      <c r="E336" s="1574"/>
      <c r="F336" s="1574" t="s">
        <v>2848</v>
      </c>
      <c r="G336" s="1574"/>
      <c r="H336" s="1574"/>
      <c r="I336" s="1574"/>
      <c r="J336" s="1412">
        <v>0</v>
      </c>
      <c r="K336" s="1412">
        <v>0</v>
      </c>
      <c r="L336" s="1412">
        <v>8491.7800000000007</v>
      </c>
      <c r="M336" s="1575">
        <v>8491.7800000000007</v>
      </c>
      <c r="N336" s="1575"/>
      <c r="O336" s="1575">
        <v>0</v>
      </c>
      <c r="P336" s="1575"/>
      <c r="Q336" s="1575">
        <v>0</v>
      </c>
      <c r="R336" s="1575"/>
      <c r="S336" s="1575"/>
      <c r="T336" s="1575"/>
      <c r="U336" s="1575"/>
    </row>
    <row r="337" spans="1:21" ht="10.9" customHeight="1">
      <c r="A337" s="1574" t="s">
        <v>1322</v>
      </c>
      <c r="B337" s="1574"/>
      <c r="C337" s="1574" t="s">
        <v>2139</v>
      </c>
      <c r="D337" s="1574"/>
      <c r="E337" s="1574"/>
      <c r="F337" s="1574" t="s">
        <v>2140</v>
      </c>
      <c r="G337" s="1574"/>
      <c r="H337" s="1574"/>
      <c r="I337" s="1574"/>
      <c r="J337" s="1412">
        <v>0</v>
      </c>
      <c r="K337" s="1412">
        <v>0</v>
      </c>
      <c r="L337" s="1412">
        <v>19350.73</v>
      </c>
      <c r="M337" s="1575">
        <v>19350.73</v>
      </c>
      <c r="N337" s="1575"/>
      <c r="O337" s="1575">
        <v>0</v>
      </c>
      <c r="P337" s="1575"/>
      <c r="Q337" s="1575">
        <v>0</v>
      </c>
      <c r="R337" s="1575"/>
      <c r="S337" s="1575"/>
      <c r="T337" s="1575"/>
      <c r="U337" s="1575"/>
    </row>
    <row r="338" spans="1:21" ht="10.9" customHeight="1">
      <c r="A338" s="1574" t="s">
        <v>1322</v>
      </c>
      <c r="B338" s="1574"/>
      <c r="C338" s="1574" t="s">
        <v>2870</v>
      </c>
      <c r="D338" s="1574"/>
      <c r="E338" s="1574"/>
      <c r="F338" s="1574" t="s">
        <v>2871</v>
      </c>
      <c r="G338" s="1574"/>
      <c r="H338" s="1574"/>
      <c r="I338" s="1574"/>
      <c r="J338" s="1412">
        <v>5800.05</v>
      </c>
      <c r="K338" s="1412">
        <v>0</v>
      </c>
      <c r="L338" s="1412">
        <v>1154.46</v>
      </c>
      <c r="M338" s="1575">
        <v>0</v>
      </c>
      <c r="N338" s="1575"/>
      <c r="O338" s="1575">
        <v>6954.51</v>
      </c>
      <c r="P338" s="1575"/>
      <c r="Q338" s="1575">
        <v>0</v>
      </c>
      <c r="R338" s="1575"/>
      <c r="S338" s="1575"/>
      <c r="T338" s="1575"/>
      <c r="U338" s="1575"/>
    </row>
    <row r="339" spans="1:21" ht="10.9" customHeight="1">
      <c r="A339" s="1574" t="s">
        <v>1322</v>
      </c>
      <c r="B339" s="1574"/>
      <c r="C339" s="1574" t="s">
        <v>2849</v>
      </c>
      <c r="D339" s="1574"/>
      <c r="E339" s="1574"/>
      <c r="F339" s="1574" t="s">
        <v>2850</v>
      </c>
      <c r="G339" s="1574"/>
      <c r="H339" s="1574"/>
      <c r="I339" s="1574"/>
      <c r="J339" s="1412">
        <v>12462.71</v>
      </c>
      <c r="K339" s="1412">
        <v>0</v>
      </c>
      <c r="L339" s="1412">
        <v>5584</v>
      </c>
      <c r="M339" s="1575">
        <v>8339.6</v>
      </c>
      <c r="N339" s="1575"/>
      <c r="O339" s="1575">
        <v>9707.11</v>
      </c>
      <c r="P339" s="1575"/>
      <c r="Q339" s="1575">
        <v>0</v>
      </c>
      <c r="R339" s="1575"/>
      <c r="S339" s="1575"/>
      <c r="T339" s="1575"/>
      <c r="U339" s="1575"/>
    </row>
    <row r="340" spans="1:21" ht="10.9" customHeight="1">
      <c r="A340" s="1574" t="s">
        <v>1322</v>
      </c>
      <c r="B340" s="1574"/>
      <c r="C340" s="1574" t="s">
        <v>2851</v>
      </c>
      <c r="D340" s="1574"/>
      <c r="E340" s="1574"/>
      <c r="F340" s="1574" t="s">
        <v>2852</v>
      </c>
      <c r="G340" s="1574"/>
      <c r="H340" s="1574"/>
      <c r="I340" s="1574"/>
      <c r="J340" s="1412">
        <v>50454.559999999998</v>
      </c>
      <c r="K340" s="1412">
        <v>0</v>
      </c>
      <c r="L340" s="1412">
        <v>0</v>
      </c>
      <c r="M340" s="1575">
        <v>0</v>
      </c>
      <c r="N340" s="1575"/>
      <c r="O340" s="1575">
        <v>50454.559999999998</v>
      </c>
      <c r="P340" s="1575"/>
      <c r="Q340" s="1575">
        <v>0</v>
      </c>
      <c r="R340" s="1575"/>
      <c r="S340" s="1575"/>
      <c r="T340" s="1575"/>
      <c r="U340" s="1575"/>
    </row>
    <row r="341" spans="1:21" ht="10.9" customHeight="1">
      <c r="A341" s="1574" t="s">
        <v>1322</v>
      </c>
      <c r="B341" s="1574"/>
      <c r="C341" s="1574" t="s">
        <v>2872</v>
      </c>
      <c r="D341" s="1574"/>
      <c r="E341" s="1574"/>
      <c r="F341" s="1574" t="s">
        <v>2873</v>
      </c>
      <c r="G341" s="1574"/>
      <c r="H341" s="1574"/>
      <c r="I341" s="1574"/>
      <c r="J341" s="1412">
        <v>10768.67</v>
      </c>
      <c r="K341" s="1412">
        <v>0</v>
      </c>
      <c r="L341" s="1412">
        <v>0</v>
      </c>
      <c r="M341" s="1575">
        <v>0</v>
      </c>
      <c r="N341" s="1575"/>
      <c r="O341" s="1575">
        <v>10768.67</v>
      </c>
      <c r="P341" s="1575"/>
      <c r="Q341" s="1575">
        <v>0</v>
      </c>
      <c r="R341" s="1575"/>
      <c r="S341" s="1575"/>
      <c r="T341" s="1575"/>
      <c r="U341" s="1575"/>
    </row>
    <row r="342" spans="1:21" ht="10.9" customHeight="1">
      <c r="A342" s="1574" t="s">
        <v>1322</v>
      </c>
      <c r="B342" s="1574"/>
      <c r="C342" s="1574" t="s">
        <v>2988</v>
      </c>
      <c r="D342" s="1574"/>
      <c r="E342" s="1574"/>
      <c r="F342" s="1574" t="s">
        <v>2989</v>
      </c>
      <c r="G342" s="1574"/>
      <c r="H342" s="1574"/>
      <c r="I342" s="1574"/>
      <c r="J342" s="1412">
        <v>57308.77</v>
      </c>
      <c r="K342" s="1412">
        <v>0</v>
      </c>
      <c r="L342" s="1412">
        <v>1630.21</v>
      </c>
      <c r="M342" s="1575">
        <v>0</v>
      </c>
      <c r="N342" s="1575"/>
      <c r="O342" s="1575">
        <v>58938.98</v>
      </c>
      <c r="P342" s="1575"/>
      <c r="Q342" s="1575">
        <v>0</v>
      </c>
      <c r="R342" s="1575"/>
      <c r="S342" s="1575"/>
      <c r="T342" s="1575"/>
      <c r="U342" s="1575"/>
    </row>
    <row r="343" spans="1:21" ht="10.9" customHeight="1">
      <c r="A343" s="1574" t="s">
        <v>1322</v>
      </c>
      <c r="B343" s="1574"/>
      <c r="C343" s="1574" t="s">
        <v>3349</v>
      </c>
      <c r="D343" s="1574"/>
      <c r="E343" s="1574"/>
      <c r="F343" s="1574" t="s">
        <v>3350</v>
      </c>
      <c r="G343" s="1574"/>
      <c r="H343" s="1574"/>
      <c r="I343" s="1574"/>
      <c r="J343" s="1412">
        <v>0</v>
      </c>
      <c r="K343" s="1412">
        <v>0</v>
      </c>
      <c r="L343" s="1412">
        <v>0</v>
      </c>
      <c r="M343" s="1575">
        <v>0</v>
      </c>
      <c r="N343" s="1575"/>
      <c r="O343" s="1575">
        <v>0</v>
      </c>
      <c r="P343" s="1575"/>
      <c r="Q343" s="1575">
        <v>0</v>
      </c>
      <c r="R343" s="1575"/>
      <c r="S343" s="1575"/>
      <c r="T343" s="1575"/>
      <c r="U343" s="1575"/>
    </row>
    <row r="344" spans="1:21" ht="10.9" customHeight="1">
      <c r="A344" s="1574" t="s">
        <v>1322</v>
      </c>
      <c r="B344" s="1574"/>
      <c r="C344" s="1574" t="s">
        <v>2952</v>
      </c>
      <c r="D344" s="1574"/>
      <c r="E344" s="1574"/>
      <c r="F344" s="1574" t="s">
        <v>2953</v>
      </c>
      <c r="G344" s="1574"/>
      <c r="H344" s="1574"/>
      <c r="I344" s="1574"/>
      <c r="J344" s="1412">
        <v>0</v>
      </c>
      <c r="K344" s="1412">
        <v>0</v>
      </c>
      <c r="L344" s="1412">
        <v>1370.6</v>
      </c>
      <c r="M344" s="1575">
        <v>1370.6</v>
      </c>
      <c r="N344" s="1575"/>
      <c r="O344" s="1575">
        <v>0</v>
      </c>
      <c r="P344" s="1575"/>
      <c r="Q344" s="1575">
        <v>0</v>
      </c>
      <c r="R344" s="1575"/>
      <c r="S344" s="1575"/>
      <c r="T344" s="1575"/>
      <c r="U344" s="1575"/>
    </row>
    <row r="345" spans="1:21" ht="10.9" customHeight="1">
      <c r="A345" s="1574" t="s">
        <v>1322</v>
      </c>
      <c r="B345" s="1574"/>
      <c r="C345" s="1574" t="s">
        <v>3129</v>
      </c>
      <c r="D345" s="1574"/>
      <c r="E345" s="1574"/>
      <c r="F345" s="1574" t="s">
        <v>3130</v>
      </c>
      <c r="G345" s="1574"/>
      <c r="H345" s="1574"/>
      <c r="I345" s="1574"/>
      <c r="J345" s="1412">
        <v>4846.09</v>
      </c>
      <c r="K345" s="1412">
        <v>0</v>
      </c>
      <c r="L345" s="1412">
        <v>4612.24</v>
      </c>
      <c r="M345" s="1575">
        <v>0</v>
      </c>
      <c r="N345" s="1575"/>
      <c r="O345" s="1575">
        <v>9458.33</v>
      </c>
      <c r="P345" s="1575"/>
      <c r="Q345" s="1575">
        <v>0</v>
      </c>
      <c r="R345" s="1575"/>
      <c r="S345" s="1575"/>
      <c r="T345" s="1575"/>
      <c r="U345" s="1575"/>
    </row>
    <row r="346" spans="1:21" ht="10.9" customHeight="1">
      <c r="A346" s="1574" t="s">
        <v>1322</v>
      </c>
      <c r="B346" s="1574"/>
      <c r="C346" s="1574" t="s">
        <v>2954</v>
      </c>
      <c r="D346" s="1574"/>
      <c r="E346" s="1574"/>
      <c r="F346" s="1574" t="s">
        <v>2955</v>
      </c>
      <c r="G346" s="1574"/>
      <c r="H346" s="1574"/>
      <c r="I346" s="1574"/>
      <c r="J346" s="1412">
        <v>43611.23</v>
      </c>
      <c r="K346" s="1412">
        <v>0</v>
      </c>
      <c r="L346" s="1412">
        <v>9447.5300000000007</v>
      </c>
      <c r="M346" s="1575">
        <v>0</v>
      </c>
      <c r="N346" s="1575"/>
      <c r="O346" s="1575">
        <v>53058.76</v>
      </c>
      <c r="P346" s="1575"/>
      <c r="Q346" s="1575">
        <v>0</v>
      </c>
      <c r="R346" s="1575"/>
      <c r="S346" s="1575"/>
      <c r="T346" s="1575"/>
      <c r="U346" s="1575"/>
    </row>
    <row r="347" spans="1:21" ht="10.9" customHeight="1">
      <c r="A347" s="1574" t="s">
        <v>1322</v>
      </c>
      <c r="B347" s="1574"/>
      <c r="C347" s="1574" t="s">
        <v>2898</v>
      </c>
      <c r="D347" s="1574"/>
      <c r="E347" s="1574"/>
      <c r="F347" s="1574" t="s">
        <v>2899</v>
      </c>
      <c r="G347" s="1574"/>
      <c r="H347" s="1574"/>
      <c r="I347" s="1574"/>
      <c r="J347" s="1412">
        <v>11400.97</v>
      </c>
      <c r="K347" s="1412">
        <v>0</v>
      </c>
      <c r="L347" s="1412">
        <v>3105.73</v>
      </c>
      <c r="M347" s="1575">
        <v>3009.8</v>
      </c>
      <c r="N347" s="1575"/>
      <c r="O347" s="1575">
        <v>11496.9</v>
      </c>
      <c r="P347" s="1575"/>
      <c r="Q347" s="1575">
        <v>0</v>
      </c>
      <c r="R347" s="1575"/>
      <c r="S347" s="1575"/>
      <c r="T347" s="1575"/>
      <c r="U347" s="1575"/>
    </row>
    <row r="348" spans="1:21" ht="19.149999999999999" customHeight="1">
      <c r="A348" s="1574" t="s">
        <v>1322</v>
      </c>
      <c r="B348" s="1574"/>
      <c r="C348" s="1574" t="s">
        <v>2956</v>
      </c>
      <c r="D348" s="1574"/>
      <c r="E348" s="1574"/>
      <c r="F348" s="1574" t="s">
        <v>2957</v>
      </c>
      <c r="G348" s="1574"/>
      <c r="H348" s="1574"/>
      <c r="I348" s="1574"/>
      <c r="J348" s="1412">
        <v>12086.15</v>
      </c>
      <c r="K348" s="1412">
        <v>0</v>
      </c>
      <c r="L348" s="1412">
        <v>2355.9699999999998</v>
      </c>
      <c r="M348" s="1575">
        <v>2355.9699999999998</v>
      </c>
      <c r="N348" s="1575"/>
      <c r="O348" s="1575">
        <v>12086.15</v>
      </c>
      <c r="P348" s="1575"/>
      <c r="Q348" s="1575">
        <v>0</v>
      </c>
      <c r="R348" s="1575"/>
      <c r="S348" s="1575"/>
      <c r="T348" s="1575"/>
      <c r="U348" s="1575"/>
    </row>
    <row r="349" spans="1:21" ht="10.9" customHeight="1">
      <c r="A349" s="1574" t="s">
        <v>1322</v>
      </c>
      <c r="B349" s="1574"/>
      <c r="C349" s="1574" t="s">
        <v>3123</v>
      </c>
      <c r="D349" s="1574"/>
      <c r="E349" s="1574"/>
      <c r="F349" s="1574" t="s">
        <v>3124</v>
      </c>
      <c r="G349" s="1574"/>
      <c r="H349" s="1574"/>
      <c r="I349" s="1574"/>
      <c r="J349" s="1412">
        <v>894.43</v>
      </c>
      <c r="K349" s="1412">
        <v>0</v>
      </c>
      <c r="L349" s="1412">
        <v>399.56</v>
      </c>
      <c r="M349" s="1575">
        <v>399.56</v>
      </c>
      <c r="N349" s="1575"/>
      <c r="O349" s="1575">
        <v>894.43</v>
      </c>
      <c r="P349" s="1575"/>
      <c r="Q349" s="1575">
        <v>0</v>
      </c>
      <c r="R349" s="1575"/>
      <c r="S349" s="1575"/>
      <c r="T349" s="1575"/>
      <c r="U349" s="1575"/>
    </row>
    <row r="350" spans="1:21" ht="10.9" customHeight="1">
      <c r="A350" s="1574" t="s">
        <v>1322</v>
      </c>
      <c r="B350" s="1574"/>
      <c r="C350" s="1574" t="s">
        <v>2958</v>
      </c>
      <c r="D350" s="1574"/>
      <c r="E350" s="1574"/>
      <c r="F350" s="1574" t="s">
        <v>2959</v>
      </c>
      <c r="G350" s="1574"/>
      <c r="H350" s="1574"/>
      <c r="I350" s="1574"/>
      <c r="J350" s="1412">
        <v>0</v>
      </c>
      <c r="K350" s="1412">
        <v>0</v>
      </c>
      <c r="L350" s="1412">
        <v>0</v>
      </c>
      <c r="M350" s="1575">
        <v>0</v>
      </c>
      <c r="N350" s="1575"/>
      <c r="O350" s="1575">
        <v>0</v>
      </c>
      <c r="P350" s="1575"/>
      <c r="Q350" s="1575">
        <v>0</v>
      </c>
      <c r="R350" s="1575"/>
      <c r="S350" s="1575"/>
      <c r="T350" s="1575"/>
      <c r="U350" s="1575"/>
    </row>
    <row r="351" spans="1:21" ht="19.149999999999999" customHeight="1">
      <c r="A351" s="1574" t="s">
        <v>1322</v>
      </c>
      <c r="B351" s="1574"/>
      <c r="C351" s="1574" t="s">
        <v>2972</v>
      </c>
      <c r="D351" s="1574"/>
      <c r="E351" s="1574"/>
      <c r="F351" s="1574" t="s">
        <v>2973</v>
      </c>
      <c r="G351" s="1574"/>
      <c r="H351" s="1574"/>
      <c r="I351" s="1574"/>
      <c r="J351" s="1412">
        <v>0</v>
      </c>
      <c r="K351" s="1412">
        <v>0</v>
      </c>
      <c r="L351" s="1412">
        <v>5152.84</v>
      </c>
      <c r="M351" s="1575">
        <v>5152.84</v>
      </c>
      <c r="N351" s="1575"/>
      <c r="O351" s="1575">
        <v>0</v>
      </c>
      <c r="P351" s="1575"/>
      <c r="Q351" s="1575">
        <v>0</v>
      </c>
      <c r="R351" s="1575"/>
      <c r="S351" s="1575"/>
      <c r="T351" s="1575"/>
      <c r="U351" s="1575"/>
    </row>
    <row r="352" spans="1:21" ht="10.9" customHeight="1">
      <c r="A352" s="1574" t="s">
        <v>1322</v>
      </c>
      <c r="B352" s="1574"/>
      <c r="C352" s="1574" t="s">
        <v>3176</v>
      </c>
      <c r="D352" s="1574"/>
      <c r="E352" s="1574"/>
      <c r="F352" s="1574" t="s">
        <v>3177</v>
      </c>
      <c r="G352" s="1574"/>
      <c r="H352" s="1574"/>
      <c r="I352" s="1574"/>
      <c r="J352" s="1412">
        <v>0</v>
      </c>
      <c r="K352" s="1412">
        <v>0</v>
      </c>
      <c r="L352" s="1412">
        <v>1465.84</v>
      </c>
      <c r="M352" s="1575">
        <v>1465.84</v>
      </c>
      <c r="N352" s="1575"/>
      <c r="O352" s="1575">
        <v>0</v>
      </c>
      <c r="P352" s="1575"/>
      <c r="Q352" s="1575">
        <v>0</v>
      </c>
      <c r="R352" s="1575"/>
      <c r="S352" s="1575"/>
      <c r="T352" s="1575"/>
      <c r="U352" s="1575"/>
    </row>
    <row r="353" spans="1:23" ht="10.9" customHeight="1">
      <c r="A353" s="1574" t="s">
        <v>1322</v>
      </c>
      <c r="B353" s="1574"/>
      <c r="C353" s="1574" t="s">
        <v>2975</v>
      </c>
      <c r="D353" s="1574"/>
      <c r="E353" s="1574"/>
      <c r="F353" s="1574" t="s">
        <v>2976</v>
      </c>
      <c r="G353" s="1574"/>
      <c r="H353" s="1574"/>
      <c r="I353" s="1574"/>
      <c r="J353" s="1412">
        <v>0</v>
      </c>
      <c r="K353" s="1412">
        <v>0</v>
      </c>
      <c r="L353" s="1412">
        <v>3655.5</v>
      </c>
      <c r="M353" s="1575">
        <v>0</v>
      </c>
      <c r="N353" s="1575"/>
      <c r="O353" s="1575">
        <v>3655.5</v>
      </c>
      <c r="P353" s="1575"/>
      <c r="Q353" s="1575">
        <v>0</v>
      </c>
      <c r="R353" s="1575"/>
      <c r="S353" s="1575"/>
      <c r="T353" s="1575"/>
      <c r="U353" s="1575"/>
    </row>
    <row r="354" spans="1:23" ht="10.9" customHeight="1">
      <c r="A354" s="1574" t="s">
        <v>1322</v>
      </c>
      <c r="B354" s="1574"/>
      <c r="C354" s="1574" t="s">
        <v>2977</v>
      </c>
      <c r="D354" s="1574"/>
      <c r="E354" s="1574"/>
      <c r="F354" s="1574" t="s">
        <v>2978</v>
      </c>
      <c r="G354" s="1574"/>
      <c r="H354" s="1574"/>
      <c r="I354" s="1574"/>
      <c r="J354" s="1412">
        <v>0</v>
      </c>
      <c r="K354" s="1412">
        <v>0</v>
      </c>
      <c r="L354" s="1412">
        <v>1644.72</v>
      </c>
      <c r="M354" s="1575">
        <v>1644.72</v>
      </c>
      <c r="N354" s="1575"/>
      <c r="O354" s="1575">
        <v>0</v>
      </c>
      <c r="P354" s="1575"/>
      <c r="Q354" s="1575">
        <v>0</v>
      </c>
      <c r="R354" s="1575"/>
      <c r="S354" s="1575"/>
      <c r="T354" s="1575"/>
      <c r="U354" s="1575"/>
    </row>
    <row r="355" spans="1:23" ht="8.4499999999999993" customHeight="1"/>
    <row r="356" spans="1:23" ht="14.1" customHeight="1">
      <c r="S356" s="1573" t="s">
        <v>2151</v>
      </c>
      <c r="T356" s="1573"/>
      <c r="U356" s="1573"/>
      <c r="V356" s="1573"/>
      <c r="W356" s="1573"/>
    </row>
    <row r="357" spans="1:23" ht="7.15" customHeight="1">
      <c r="C357" s="1586" t="s">
        <v>2987</v>
      </c>
      <c r="D357" s="1586"/>
      <c r="E357" s="1586"/>
      <c r="F357" s="1586"/>
      <c r="G357" s="1586"/>
      <c r="H357" s="1586"/>
      <c r="I357" s="1586"/>
      <c r="J357" s="1586"/>
      <c r="K357" s="1586"/>
      <c r="L357" s="1586"/>
      <c r="M357" s="1586"/>
      <c r="N357" s="1586"/>
      <c r="O357" s="1586"/>
      <c r="P357" s="1586"/>
      <c r="Q357" s="1586"/>
      <c r="R357" s="1586"/>
      <c r="S357" s="1586"/>
      <c r="T357" s="1586"/>
    </row>
    <row r="358" spans="1:23" ht="9.6" customHeight="1">
      <c r="A358" s="1587"/>
      <c r="B358" s="1587"/>
      <c r="C358" s="1587"/>
      <c r="D358" s="1587"/>
      <c r="E358" s="1587"/>
      <c r="F358" s="1587"/>
      <c r="G358" s="1586"/>
      <c r="H358" s="1586"/>
      <c r="I358" s="1586"/>
      <c r="J358" s="1586"/>
      <c r="K358" s="1586"/>
      <c r="L358" s="1586"/>
      <c r="M358" s="1586"/>
      <c r="N358" s="1586"/>
      <c r="O358" s="1586"/>
      <c r="P358" s="1586"/>
      <c r="Q358" s="1586"/>
      <c r="R358" s="1586"/>
      <c r="S358" s="1586"/>
      <c r="T358" s="1586"/>
    </row>
    <row r="359" spans="1:23" ht="13.35" customHeight="1">
      <c r="A359" s="1587"/>
      <c r="B359" s="1587"/>
      <c r="C359" s="1587"/>
      <c r="D359" s="1587"/>
      <c r="E359" s="1587"/>
      <c r="F359" s="1587"/>
      <c r="G359" s="1588" t="s">
        <v>79</v>
      </c>
      <c r="H359" s="1588"/>
      <c r="I359" s="1588"/>
      <c r="J359" s="1588"/>
      <c r="K359" s="1588"/>
      <c r="L359" s="1588"/>
      <c r="M359" s="1588"/>
      <c r="N359" s="1588"/>
      <c r="O359" s="1588"/>
      <c r="P359" s="1588"/>
      <c r="Q359" s="1588"/>
      <c r="R359" s="1588"/>
    </row>
    <row r="360" spans="1:23" ht="5.25" customHeight="1">
      <c r="A360" s="1587"/>
      <c r="B360" s="1587"/>
      <c r="C360" s="1587"/>
      <c r="D360" s="1587"/>
      <c r="E360" s="1587"/>
      <c r="F360" s="1587"/>
      <c r="G360" s="1581" t="s">
        <v>7015</v>
      </c>
      <c r="H360" s="1581"/>
      <c r="I360" s="1581"/>
      <c r="J360" s="1581"/>
      <c r="K360" s="1581"/>
      <c r="L360" s="1581"/>
      <c r="M360" s="1581"/>
      <c r="N360" s="1581"/>
      <c r="O360" s="1581"/>
      <c r="P360" s="1581"/>
      <c r="Q360" s="1581"/>
    </row>
    <row r="361" spans="1:23" ht="8.1" customHeight="1">
      <c r="B361" s="1580" t="s">
        <v>1916</v>
      </c>
      <c r="C361" s="1580"/>
      <c r="D361" s="1580"/>
      <c r="E361" s="1580"/>
      <c r="F361" s="1580"/>
      <c r="G361" s="1580"/>
      <c r="H361" s="1581"/>
      <c r="I361" s="1581"/>
      <c r="J361" s="1581"/>
      <c r="K361" s="1581"/>
      <c r="L361" s="1581"/>
      <c r="M361" s="1581"/>
      <c r="N361" s="1582" t="s">
        <v>5619</v>
      </c>
      <c r="O361" s="1582"/>
      <c r="P361" s="1582"/>
      <c r="Q361" s="1582"/>
      <c r="R361" s="1582"/>
      <c r="S361" s="1582"/>
      <c r="T361" s="1583" t="s">
        <v>7016</v>
      </c>
      <c r="U361" s="1583"/>
      <c r="V361" s="1583"/>
      <c r="W361" s="1583"/>
    </row>
    <row r="362" spans="1:23" ht="6" customHeight="1">
      <c r="B362" s="1580"/>
      <c r="C362" s="1580"/>
      <c r="D362" s="1580"/>
      <c r="E362" s="1580"/>
      <c r="F362" s="1580"/>
      <c r="G362" s="1580"/>
      <c r="H362" s="1584" t="s">
        <v>7017</v>
      </c>
      <c r="I362" s="1584"/>
      <c r="J362" s="1584"/>
      <c r="K362" s="1584"/>
      <c r="L362" s="1584"/>
      <c r="M362" s="1584"/>
      <c r="N362" s="1582"/>
      <c r="O362" s="1582"/>
      <c r="P362" s="1582"/>
      <c r="Q362" s="1582"/>
      <c r="R362" s="1582"/>
      <c r="S362" s="1582"/>
      <c r="T362" s="1583"/>
      <c r="U362" s="1583"/>
      <c r="V362" s="1583"/>
      <c r="W362" s="1583"/>
    </row>
    <row r="363" spans="1:23" ht="7.35" customHeight="1">
      <c r="B363" s="1580" t="s">
        <v>1994</v>
      </c>
      <c r="C363" s="1580"/>
      <c r="D363" s="1580"/>
      <c r="E363" s="1585"/>
      <c r="F363" s="1585"/>
      <c r="G363" s="1585"/>
      <c r="H363" s="1585"/>
      <c r="I363" s="1585"/>
      <c r="J363" s="1585"/>
      <c r="K363" s="1585"/>
      <c r="L363" s="1585"/>
      <c r="M363" s="1585"/>
      <c r="N363" s="1585"/>
      <c r="O363" s="1585"/>
      <c r="P363" s="1585"/>
      <c r="Q363" s="1585"/>
      <c r="R363" s="1582"/>
      <c r="S363" s="1582"/>
      <c r="T363" s="1582" t="s">
        <v>7018</v>
      </c>
      <c r="U363" s="1582"/>
    </row>
    <row r="364" spans="1:23" ht="6.75" customHeight="1">
      <c r="E364" s="1585"/>
      <c r="F364" s="1585"/>
      <c r="G364" s="1585"/>
      <c r="H364" s="1585"/>
      <c r="I364" s="1585"/>
      <c r="J364" s="1585"/>
      <c r="K364" s="1585"/>
      <c r="L364" s="1585"/>
      <c r="M364" s="1585"/>
      <c r="N364" s="1585"/>
      <c r="O364" s="1585"/>
      <c r="P364" s="1585"/>
      <c r="Q364" s="1585"/>
      <c r="R364" s="1582"/>
      <c r="S364" s="1582"/>
      <c r="T364" s="1582"/>
      <c r="U364" s="1582"/>
    </row>
    <row r="365" spans="1:23" ht="10.9" customHeight="1">
      <c r="A365" s="1576"/>
      <c r="B365" s="1576"/>
      <c r="C365" s="1576"/>
      <c r="D365" s="1576"/>
      <c r="E365" s="1576"/>
      <c r="F365" s="1576"/>
      <c r="G365" s="1576"/>
      <c r="H365" s="1576"/>
      <c r="I365" s="1576"/>
      <c r="J365" s="1577" t="s">
        <v>1314</v>
      </c>
      <c r="K365" s="1577"/>
      <c r="L365" s="1577" t="s">
        <v>1315</v>
      </c>
      <c r="M365" s="1577"/>
      <c r="N365" s="1577"/>
      <c r="O365" s="1577" t="s">
        <v>1316</v>
      </c>
      <c r="P365" s="1577"/>
      <c r="Q365" s="1577"/>
      <c r="R365" s="1577"/>
      <c r="S365" s="1577"/>
      <c r="T365" s="1577"/>
      <c r="U365" s="1577"/>
    </row>
    <row r="366" spans="1:23" ht="14.1" customHeight="1">
      <c r="A366" s="1578" t="s">
        <v>1317</v>
      </c>
      <c r="B366" s="1578"/>
      <c r="C366" s="1578" t="s">
        <v>1318</v>
      </c>
      <c r="D366" s="1578"/>
      <c r="E366" s="1578"/>
      <c r="F366" s="1578" t="s">
        <v>1319</v>
      </c>
      <c r="G366" s="1578"/>
      <c r="H366" s="1578"/>
      <c r="I366" s="1578"/>
      <c r="J366" s="1413" t="s">
        <v>1320</v>
      </c>
      <c r="K366" s="1413" t="s">
        <v>1321</v>
      </c>
      <c r="L366" s="1413" t="s">
        <v>1320</v>
      </c>
      <c r="M366" s="1579" t="s">
        <v>1321</v>
      </c>
      <c r="N366" s="1579"/>
      <c r="O366" s="1579" t="s">
        <v>1320</v>
      </c>
      <c r="P366" s="1579"/>
      <c r="Q366" s="1579" t="s">
        <v>1321</v>
      </c>
      <c r="R366" s="1579"/>
      <c r="S366" s="1579"/>
      <c r="T366" s="1579"/>
      <c r="U366" s="1579"/>
    </row>
    <row r="367" spans="1:23" ht="14.1" customHeight="1">
      <c r="A367" s="1574" t="s">
        <v>1322</v>
      </c>
      <c r="B367" s="1574"/>
      <c r="C367" s="1574" t="s">
        <v>2979</v>
      </c>
      <c r="D367" s="1574"/>
      <c r="E367" s="1574"/>
      <c r="F367" s="1574" t="s">
        <v>2980</v>
      </c>
      <c r="G367" s="1574"/>
      <c r="H367" s="1574"/>
      <c r="I367" s="1574"/>
      <c r="J367" s="1412">
        <v>693.68</v>
      </c>
      <c r="K367" s="1412">
        <v>0</v>
      </c>
      <c r="L367" s="1412">
        <v>873.63</v>
      </c>
      <c r="M367" s="1575">
        <v>0</v>
      </c>
      <c r="N367" s="1575"/>
      <c r="O367" s="1575">
        <v>1567.31</v>
      </c>
      <c r="P367" s="1575"/>
      <c r="Q367" s="1575">
        <v>0</v>
      </c>
      <c r="R367" s="1575"/>
      <c r="S367" s="1575"/>
      <c r="T367" s="1575"/>
      <c r="U367" s="1575"/>
    </row>
    <row r="368" spans="1:23" ht="10.9" customHeight="1">
      <c r="A368" s="1574" t="s">
        <v>1322</v>
      </c>
      <c r="B368" s="1574"/>
      <c r="C368" s="1574" t="s">
        <v>2982</v>
      </c>
      <c r="D368" s="1574"/>
      <c r="E368" s="1574"/>
      <c r="F368" s="1574" t="s">
        <v>2983</v>
      </c>
      <c r="G368" s="1574"/>
      <c r="H368" s="1574"/>
      <c r="I368" s="1574"/>
      <c r="J368" s="1412">
        <v>7436.92</v>
      </c>
      <c r="K368" s="1412">
        <v>0</v>
      </c>
      <c r="L368" s="1412">
        <v>1653.94</v>
      </c>
      <c r="M368" s="1575">
        <v>1653.94</v>
      </c>
      <c r="N368" s="1575"/>
      <c r="O368" s="1575">
        <v>7436.92</v>
      </c>
      <c r="P368" s="1575"/>
      <c r="Q368" s="1575">
        <v>0</v>
      </c>
      <c r="R368" s="1575"/>
      <c r="S368" s="1575"/>
      <c r="T368" s="1575"/>
      <c r="U368" s="1575"/>
    </row>
    <row r="369" spans="1:21" ht="10.9" customHeight="1">
      <c r="A369" s="1574" t="s">
        <v>1322</v>
      </c>
      <c r="B369" s="1574"/>
      <c r="C369" s="1574" t="s">
        <v>3131</v>
      </c>
      <c r="D369" s="1574"/>
      <c r="E369" s="1574"/>
      <c r="F369" s="1574" t="s">
        <v>3132</v>
      </c>
      <c r="G369" s="1574"/>
      <c r="H369" s="1574"/>
      <c r="I369" s="1574"/>
      <c r="J369" s="1412">
        <v>0</v>
      </c>
      <c r="K369" s="1412">
        <v>0</v>
      </c>
      <c r="L369" s="1412">
        <v>163.69999999999999</v>
      </c>
      <c r="M369" s="1575">
        <v>163.69999999999999</v>
      </c>
      <c r="N369" s="1575"/>
      <c r="O369" s="1575">
        <v>0</v>
      </c>
      <c r="P369" s="1575"/>
      <c r="Q369" s="1575">
        <v>0</v>
      </c>
      <c r="R369" s="1575"/>
      <c r="S369" s="1575"/>
      <c r="T369" s="1575"/>
      <c r="U369" s="1575"/>
    </row>
    <row r="370" spans="1:21" ht="10.9" customHeight="1">
      <c r="A370" s="1574" t="s">
        <v>1322</v>
      </c>
      <c r="B370" s="1574"/>
      <c r="C370" s="1574" t="s">
        <v>4007</v>
      </c>
      <c r="D370" s="1574"/>
      <c r="E370" s="1574"/>
      <c r="F370" s="1574" t="s">
        <v>4008</v>
      </c>
      <c r="G370" s="1574"/>
      <c r="H370" s="1574"/>
      <c r="I370" s="1574"/>
      <c r="J370" s="1412">
        <v>475.08</v>
      </c>
      <c r="K370" s="1412">
        <v>0</v>
      </c>
      <c r="L370" s="1412">
        <v>0</v>
      </c>
      <c r="M370" s="1575">
        <v>0</v>
      </c>
      <c r="N370" s="1575"/>
      <c r="O370" s="1575">
        <v>475.08</v>
      </c>
      <c r="P370" s="1575"/>
      <c r="Q370" s="1575">
        <v>0</v>
      </c>
      <c r="R370" s="1575"/>
      <c r="S370" s="1575"/>
      <c r="T370" s="1575"/>
      <c r="U370" s="1575"/>
    </row>
    <row r="371" spans="1:21" ht="10.9" customHeight="1">
      <c r="A371" s="1574" t="s">
        <v>1322</v>
      </c>
      <c r="B371" s="1574"/>
      <c r="C371" s="1574" t="s">
        <v>3100</v>
      </c>
      <c r="D371" s="1574"/>
      <c r="E371" s="1574"/>
      <c r="F371" s="1574" t="s">
        <v>3101</v>
      </c>
      <c r="G371" s="1574"/>
      <c r="H371" s="1574"/>
      <c r="I371" s="1574"/>
      <c r="J371" s="1412">
        <v>0</v>
      </c>
      <c r="K371" s="1412">
        <v>0</v>
      </c>
      <c r="L371" s="1412">
        <v>1044.32</v>
      </c>
      <c r="M371" s="1575">
        <v>0</v>
      </c>
      <c r="N371" s="1575"/>
      <c r="O371" s="1575">
        <v>1044.32</v>
      </c>
      <c r="P371" s="1575"/>
      <c r="Q371" s="1575">
        <v>0</v>
      </c>
      <c r="R371" s="1575"/>
      <c r="S371" s="1575"/>
      <c r="T371" s="1575"/>
      <c r="U371" s="1575"/>
    </row>
    <row r="372" spans="1:21" ht="10.9" customHeight="1">
      <c r="A372" s="1574" t="s">
        <v>1322</v>
      </c>
      <c r="B372" s="1574"/>
      <c r="C372" s="1574" t="s">
        <v>3102</v>
      </c>
      <c r="D372" s="1574"/>
      <c r="E372" s="1574"/>
      <c r="F372" s="1574" t="s">
        <v>3103</v>
      </c>
      <c r="G372" s="1574"/>
      <c r="H372" s="1574"/>
      <c r="I372" s="1574"/>
      <c r="J372" s="1412">
        <v>3896.12</v>
      </c>
      <c r="K372" s="1412">
        <v>0</v>
      </c>
      <c r="L372" s="1412">
        <v>1649.68</v>
      </c>
      <c r="M372" s="1575">
        <v>3646.2</v>
      </c>
      <c r="N372" s="1575"/>
      <c r="O372" s="1575">
        <v>1899.6</v>
      </c>
      <c r="P372" s="1575"/>
      <c r="Q372" s="1575">
        <v>0</v>
      </c>
      <c r="R372" s="1575"/>
      <c r="S372" s="1575"/>
      <c r="T372" s="1575"/>
      <c r="U372" s="1575"/>
    </row>
    <row r="373" spans="1:21" ht="10.9" customHeight="1">
      <c r="A373" s="1574" t="s">
        <v>1322</v>
      </c>
      <c r="B373" s="1574"/>
      <c r="C373" s="1574" t="s">
        <v>3133</v>
      </c>
      <c r="D373" s="1574"/>
      <c r="E373" s="1574"/>
      <c r="F373" s="1574" t="s">
        <v>3134</v>
      </c>
      <c r="G373" s="1574"/>
      <c r="H373" s="1574"/>
      <c r="I373" s="1574"/>
      <c r="J373" s="1412">
        <v>237.53</v>
      </c>
      <c r="K373" s="1412">
        <v>0</v>
      </c>
      <c r="L373" s="1412">
        <v>0</v>
      </c>
      <c r="M373" s="1575">
        <v>0</v>
      </c>
      <c r="N373" s="1575"/>
      <c r="O373" s="1575">
        <v>237.53</v>
      </c>
      <c r="P373" s="1575"/>
      <c r="Q373" s="1575">
        <v>0</v>
      </c>
      <c r="R373" s="1575"/>
      <c r="S373" s="1575"/>
      <c r="T373" s="1575"/>
      <c r="U373" s="1575"/>
    </row>
    <row r="374" spans="1:21" ht="10.9" customHeight="1">
      <c r="A374" s="1574" t="s">
        <v>1322</v>
      </c>
      <c r="B374" s="1574"/>
      <c r="C374" s="1574" t="s">
        <v>3104</v>
      </c>
      <c r="D374" s="1574"/>
      <c r="E374" s="1574"/>
      <c r="F374" s="1574" t="s">
        <v>3105</v>
      </c>
      <c r="G374" s="1574"/>
      <c r="H374" s="1574"/>
      <c r="I374" s="1574"/>
      <c r="J374" s="1412">
        <v>221.44</v>
      </c>
      <c r="K374" s="1412">
        <v>0</v>
      </c>
      <c r="L374" s="1412">
        <v>141.51</v>
      </c>
      <c r="M374" s="1575">
        <v>0</v>
      </c>
      <c r="N374" s="1575"/>
      <c r="O374" s="1575">
        <v>362.95</v>
      </c>
      <c r="P374" s="1575"/>
      <c r="Q374" s="1575">
        <v>0</v>
      </c>
      <c r="R374" s="1575"/>
      <c r="S374" s="1575"/>
      <c r="T374" s="1575"/>
      <c r="U374" s="1575"/>
    </row>
    <row r="375" spans="1:21" ht="10.9" customHeight="1">
      <c r="A375" s="1574" t="s">
        <v>1322</v>
      </c>
      <c r="B375" s="1574"/>
      <c r="C375" s="1574" t="s">
        <v>3139</v>
      </c>
      <c r="D375" s="1574"/>
      <c r="E375" s="1574"/>
      <c r="F375" s="1574" t="s">
        <v>3140</v>
      </c>
      <c r="G375" s="1574"/>
      <c r="H375" s="1574"/>
      <c r="I375" s="1574"/>
      <c r="J375" s="1412">
        <v>0</v>
      </c>
      <c r="K375" s="1412">
        <v>0</v>
      </c>
      <c r="L375" s="1412">
        <v>353.71</v>
      </c>
      <c r="M375" s="1575">
        <v>353.71</v>
      </c>
      <c r="N375" s="1575"/>
      <c r="O375" s="1575">
        <v>0</v>
      </c>
      <c r="P375" s="1575"/>
      <c r="Q375" s="1575">
        <v>0</v>
      </c>
      <c r="R375" s="1575"/>
      <c r="S375" s="1575"/>
      <c r="T375" s="1575"/>
      <c r="U375" s="1575"/>
    </row>
    <row r="376" spans="1:21" ht="10.9" customHeight="1">
      <c r="A376" s="1574" t="s">
        <v>1322</v>
      </c>
      <c r="B376" s="1574"/>
      <c r="C376" s="1574" t="s">
        <v>3125</v>
      </c>
      <c r="D376" s="1574"/>
      <c r="E376" s="1574"/>
      <c r="F376" s="1574" t="s">
        <v>3126</v>
      </c>
      <c r="G376" s="1574"/>
      <c r="H376" s="1574"/>
      <c r="I376" s="1574"/>
      <c r="J376" s="1412">
        <v>0</v>
      </c>
      <c r="K376" s="1412">
        <v>0</v>
      </c>
      <c r="L376" s="1412">
        <v>0</v>
      </c>
      <c r="M376" s="1575">
        <v>0</v>
      </c>
      <c r="N376" s="1575"/>
      <c r="O376" s="1575">
        <v>0</v>
      </c>
      <c r="P376" s="1575"/>
      <c r="Q376" s="1575">
        <v>0</v>
      </c>
      <c r="R376" s="1575"/>
      <c r="S376" s="1575"/>
      <c r="T376" s="1575"/>
      <c r="U376" s="1575"/>
    </row>
    <row r="377" spans="1:21" ht="10.9" customHeight="1">
      <c r="A377" s="1574" t="s">
        <v>1322</v>
      </c>
      <c r="B377" s="1574"/>
      <c r="C377" s="1574" t="s">
        <v>3135</v>
      </c>
      <c r="D377" s="1574"/>
      <c r="E377" s="1574"/>
      <c r="F377" s="1574" t="s">
        <v>3136</v>
      </c>
      <c r="G377" s="1574"/>
      <c r="H377" s="1574"/>
      <c r="I377" s="1574"/>
      <c r="J377" s="1412">
        <v>3620.14</v>
      </c>
      <c r="K377" s="1412">
        <v>0</v>
      </c>
      <c r="L377" s="1412">
        <v>1114.23</v>
      </c>
      <c r="M377" s="1575">
        <v>0</v>
      </c>
      <c r="N377" s="1575"/>
      <c r="O377" s="1575">
        <v>4734.37</v>
      </c>
      <c r="P377" s="1575"/>
      <c r="Q377" s="1575">
        <v>0</v>
      </c>
      <c r="R377" s="1575"/>
      <c r="S377" s="1575"/>
      <c r="T377" s="1575"/>
      <c r="U377" s="1575"/>
    </row>
    <row r="378" spans="1:21" ht="10.9" customHeight="1">
      <c r="A378" s="1574" t="s">
        <v>1322</v>
      </c>
      <c r="B378" s="1574"/>
      <c r="C378" s="1574" t="s">
        <v>3267</v>
      </c>
      <c r="D378" s="1574"/>
      <c r="E378" s="1574"/>
      <c r="F378" s="1574" t="s">
        <v>3268</v>
      </c>
      <c r="G378" s="1574"/>
      <c r="H378" s="1574"/>
      <c r="I378" s="1574"/>
      <c r="J378" s="1412">
        <v>2487.62</v>
      </c>
      <c r="K378" s="1412">
        <v>0</v>
      </c>
      <c r="L378" s="1412">
        <v>0</v>
      </c>
      <c r="M378" s="1575">
        <v>0</v>
      </c>
      <c r="N378" s="1575"/>
      <c r="O378" s="1575">
        <v>2487.62</v>
      </c>
      <c r="P378" s="1575"/>
      <c r="Q378" s="1575">
        <v>0</v>
      </c>
      <c r="R378" s="1575"/>
      <c r="S378" s="1575"/>
      <c r="T378" s="1575"/>
      <c r="U378" s="1575"/>
    </row>
    <row r="379" spans="1:21" ht="10.9" customHeight="1">
      <c r="A379" s="1574" t="s">
        <v>1322</v>
      </c>
      <c r="B379" s="1574"/>
      <c r="C379" s="1574" t="s">
        <v>3141</v>
      </c>
      <c r="D379" s="1574"/>
      <c r="E379" s="1574"/>
      <c r="F379" s="1574" t="s">
        <v>3142</v>
      </c>
      <c r="G379" s="1574"/>
      <c r="H379" s="1574"/>
      <c r="I379" s="1574"/>
      <c r="J379" s="1412">
        <v>19268.34</v>
      </c>
      <c r="K379" s="1412">
        <v>0</v>
      </c>
      <c r="L379" s="1412">
        <v>0</v>
      </c>
      <c r="M379" s="1575">
        <v>0</v>
      </c>
      <c r="N379" s="1575"/>
      <c r="O379" s="1575">
        <v>19268.34</v>
      </c>
      <c r="P379" s="1575"/>
      <c r="Q379" s="1575">
        <v>0</v>
      </c>
      <c r="R379" s="1575"/>
      <c r="S379" s="1575"/>
      <c r="T379" s="1575"/>
      <c r="U379" s="1575"/>
    </row>
    <row r="380" spans="1:21" ht="10.9" customHeight="1">
      <c r="A380" s="1574" t="s">
        <v>1322</v>
      </c>
      <c r="B380" s="1574"/>
      <c r="C380" s="1574" t="s">
        <v>3143</v>
      </c>
      <c r="D380" s="1574"/>
      <c r="E380" s="1574"/>
      <c r="F380" s="1574" t="s">
        <v>3144</v>
      </c>
      <c r="G380" s="1574"/>
      <c r="H380" s="1574"/>
      <c r="I380" s="1574"/>
      <c r="J380" s="1412">
        <v>10976.45</v>
      </c>
      <c r="K380" s="1412">
        <v>0</v>
      </c>
      <c r="L380" s="1412">
        <v>0</v>
      </c>
      <c r="M380" s="1575">
        <v>0</v>
      </c>
      <c r="N380" s="1575"/>
      <c r="O380" s="1575">
        <v>10976.45</v>
      </c>
      <c r="P380" s="1575"/>
      <c r="Q380" s="1575">
        <v>0</v>
      </c>
      <c r="R380" s="1575"/>
      <c r="S380" s="1575"/>
      <c r="T380" s="1575"/>
      <c r="U380" s="1575"/>
    </row>
    <row r="381" spans="1:21" ht="10.9" customHeight="1">
      <c r="A381" s="1574" t="s">
        <v>1322</v>
      </c>
      <c r="B381" s="1574"/>
      <c r="C381" s="1574" t="s">
        <v>3145</v>
      </c>
      <c r="D381" s="1574"/>
      <c r="E381" s="1574"/>
      <c r="F381" s="1574" t="s">
        <v>3146</v>
      </c>
      <c r="G381" s="1574"/>
      <c r="H381" s="1574"/>
      <c r="I381" s="1574"/>
      <c r="J381" s="1412">
        <v>9341.0400000000009</v>
      </c>
      <c r="K381" s="1412">
        <v>0</v>
      </c>
      <c r="L381" s="1412">
        <v>9622.4500000000007</v>
      </c>
      <c r="M381" s="1575">
        <v>9341.0400000000009</v>
      </c>
      <c r="N381" s="1575"/>
      <c r="O381" s="1575">
        <v>9622.4500000000007</v>
      </c>
      <c r="P381" s="1575"/>
      <c r="Q381" s="1575">
        <v>0</v>
      </c>
      <c r="R381" s="1575"/>
      <c r="S381" s="1575"/>
      <c r="T381" s="1575"/>
      <c r="U381" s="1575"/>
    </row>
    <row r="382" spans="1:21" ht="10.9" customHeight="1">
      <c r="A382" s="1574" t="s">
        <v>1322</v>
      </c>
      <c r="B382" s="1574"/>
      <c r="C382" s="1574" t="s">
        <v>3152</v>
      </c>
      <c r="D382" s="1574"/>
      <c r="E382" s="1574"/>
      <c r="F382" s="1574" t="s">
        <v>3153</v>
      </c>
      <c r="G382" s="1574"/>
      <c r="H382" s="1574"/>
      <c r="I382" s="1574"/>
      <c r="J382" s="1412">
        <v>76350.41</v>
      </c>
      <c r="K382" s="1412">
        <v>0</v>
      </c>
      <c r="L382" s="1412">
        <v>0</v>
      </c>
      <c r="M382" s="1575">
        <v>0</v>
      </c>
      <c r="N382" s="1575"/>
      <c r="O382" s="1575">
        <v>76350.41</v>
      </c>
      <c r="P382" s="1575"/>
      <c r="Q382" s="1575">
        <v>0</v>
      </c>
      <c r="R382" s="1575"/>
      <c r="S382" s="1575"/>
      <c r="T382" s="1575"/>
      <c r="U382" s="1575"/>
    </row>
    <row r="383" spans="1:21" ht="10.9" customHeight="1">
      <c r="A383" s="1574" t="s">
        <v>1322</v>
      </c>
      <c r="B383" s="1574"/>
      <c r="C383" s="1574" t="s">
        <v>3154</v>
      </c>
      <c r="D383" s="1574"/>
      <c r="E383" s="1574"/>
      <c r="F383" s="1574" t="s">
        <v>3155</v>
      </c>
      <c r="G383" s="1574"/>
      <c r="H383" s="1574"/>
      <c r="I383" s="1574"/>
      <c r="J383" s="1412">
        <v>32826.51</v>
      </c>
      <c r="K383" s="1412">
        <v>0</v>
      </c>
      <c r="L383" s="1412">
        <v>0</v>
      </c>
      <c r="M383" s="1575">
        <v>32826.51</v>
      </c>
      <c r="N383" s="1575"/>
      <c r="O383" s="1575">
        <v>0</v>
      </c>
      <c r="P383" s="1575"/>
      <c r="Q383" s="1575">
        <v>0</v>
      </c>
      <c r="R383" s="1575"/>
      <c r="S383" s="1575"/>
      <c r="T383" s="1575"/>
      <c r="U383" s="1575"/>
    </row>
    <row r="384" spans="1:21" ht="10.9" customHeight="1">
      <c r="A384" s="1574" t="s">
        <v>1322</v>
      </c>
      <c r="B384" s="1574"/>
      <c r="C384" s="1574" t="s">
        <v>3156</v>
      </c>
      <c r="D384" s="1574"/>
      <c r="E384" s="1574"/>
      <c r="F384" s="1574" t="s">
        <v>3157</v>
      </c>
      <c r="G384" s="1574"/>
      <c r="H384" s="1574"/>
      <c r="I384" s="1574"/>
      <c r="J384" s="1412">
        <v>9851.2000000000007</v>
      </c>
      <c r="K384" s="1412">
        <v>0</v>
      </c>
      <c r="L384" s="1412">
        <v>0</v>
      </c>
      <c r="M384" s="1575">
        <v>0</v>
      </c>
      <c r="N384" s="1575"/>
      <c r="O384" s="1575">
        <v>9851.2000000000007</v>
      </c>
      <c r="P384" s="1575"/>
      <c r="Q384" s="1575">
        <v>0</v>
      </c>
      <c r="R384" s="1575"/>
      <c r="S384" s="1575"/>
      <c r="T384" s="1575"/>
      <c r="U384" s="1575"/>
    </row>
    <row r="385" spans="1:21" ht="10.9" customHeight="1">
      <c r="A385" s="1574" t="s">
        <v>1322</v>
      </c>
      <c r="B385" s="1574"/>
      <c r="C385" s="1574" t="s">
        <v>3230</v>
      </c>
      <c r="D385" s="1574"/>
      <c r="E385" s="1574"/>
      <c r="F385" s="1574" t="s">
        <v>3231</v>
      </c>
      <c r="G385" s="1574"/>
      <c r="H385" s="1574"/>
      <c r="I385" s="1574"/>
      <c r="J385" s="1412">
        <v>0</v>
      </c>
      <c r="K385" s="1412">
        <v>0</v>
      </c>
      <c r="L385" s="1412">
        <v>906.48</v>
      </c>
      <c r="M385" s="1575">
        <v>906.48</v>
      </c>
      <c r="N385" s="1575"/>
      <c r="O385" s="1575">
        <v>0</v>
      </c>
      <c r="P385" s="1575"/>
      <c r="Q385" s="1575">
        <v>0</v>
      </c>
      <c r="R385" s="1575"/>
      <c r="S385" s="1575"/>
      <c r="T385" s="1575"/>
      <c r="U385" s="1575"/>
    </row>
    <row r="386" spans="1:21" ht="10.9" customHeight="1">
      <c r="A386" s="1574" t="s">
        <v>1322</v>
      </c>
      <c r="B386" s="1574"/>
      <c r="C386" s="1574" t="s">
        <v>3351</v>
      </c>
      <c r="D386" s="1574"/>
      <c r="E386" s="1574"/>
      <c r="F386" s="1574" t="s">
        <v>3352</v>
      </c>
      <c r="G386" s="1574"/>
      <c r="H386" s="1574"/>
      <c r="I386" s="1574"/>
      <c r="J386" s="1412">
        <v>907.22</v>
      </c>
      <c r="K386" s="1412">
        <v>0</v>
      </c>
      <c r="L386" s="1412">
        <v>816.45</v>
      </c>
      <c r="M386" s="1575">
        <v>816.45</v>
      </c>
      <c r="N386" s="1575"/>
      <c r="O386" s="1575">
        <v>907.22</v>
      </c>
      <c r="P386" s="1575"/>
      <c r="Q386" s="1575">
        <v>0</v>
      </c>
      <c r="R386" s="1575"/>
      <c r="S386" s="1575"/>
      <c r="T386" s="1575"/>
      <c r="U386" s="1575"/>
    </row>
    <row r="387" spans="1:21" ht="10.9" customHeight="1">
      <c r="A387" s="1574" t="s">
        <v>1322</v>
      </c>
      <c r="B387" s="1574"/>
      <c r="C387" s="1574" t="s">
        <v>5775</v>
      </c>
      <c r="D387" s="1574"/>
      <c r="E387" s="1574"/>
      <c r="F387" s="1574" t="s">
        <v>5776</v>
      </c>
      <c r="G387" s="1574"/>
      <c r="H387" s="1574"/>
      <c r="I387" s="1574"/>
      <c r="J387" s="1412">
        <v>0</v>
      </c>
      <c r="K387" s="1412">
        <v>0</v>
      </c>
      <c r="L387" s="1412">
        <v>0</v>
      </c>
      <c r="M387" s="1575">
        <v>0</v>
      </c>
      <c r="N387" s="1575"/>
      <c r="O387" s="1575">
        <v>0</v>
      </c>
      <c r="P387" s="1575"/>
      <c r="Q387" s="1575">
        <v>0</v>
      </c>
      <c r="R387" s="1575"/>
      <c r="S387" s="1575"/>
      <c r="T387" s="1575"/>
      <c r="U387" s="1575"/>
    </row>
    <row r="388" spans="1:21" ht="10.9" customHeight="1">
      <c r="A388" s="1574" t="s">
        <v>1322</v>
      </c>
      <c r="B388" s="1574"/>
      <c r="C388" s="1574" t="s">
        <v>3220</v>
      </c>
      <c r="D388" s="1574"/>
      <c r="E388" s="1574"/>
      <c r="F388" s="1574" t="s">
        <v>3221</v>
      </c>
      <c r="G388" s="1574"/>
      <c r="H388" s="1574"/>
      <c r="I388" s="1574"/>
      <c r="J388" s="1412">
        <v>0</v>
      </c>
      <c r="K388" s="1412">
        <v>0</v>
      </c>
      <c r="L388" s="1412">
        <v>0</v>
      </c>
      <c r="M388" s="1575">
        <v>0</v>
      </c>
      <c r="N388" s="1575"/>
      <c r="O388" s="1575">
        <v>0</v>
      </c>
      <c r="P388" s="1575"/>
      <c r="Q388" s="1575">
        <v>0</v>
      </c>
      <c r="R388" s="1575"/>
      <c r="S388" s="1575"/>
      <c r="T388" s="1575"/>
      <c r="U388" s="1575"/>
    </row>
    <row r="389" spans="1:21" ht="10.9" customHeight="1">
      <c r="A389" s="1574" t="s">
        <v>1322</v>
      </c>
      <c r="B389" s="1574"/>
      <c r="C389" s="1574" t="s">
        <v>3353</v>
      </c>
      <c r="D389" s="1574"/>
      <c r="E389" s="1574"/>
      <c r="F389" s="1574" t="s">
        <v>3354</v>
      </c>
      <c r="G389" s="1574"/>
      <c r="H389" s="1574"/>
      <c r="I389" s="1574"/>
      <c r="J389" s="1412">
        <v>93323.97</v>
      </c>
      <c r="K389" s="1412">
        <v>0</v>
      </c>
      <c r="L389" s="1412">
        <v>4600.63</v>
      </c>
      <c r="M389" s="1575">
        <v>0</v>
      </c>
      <c r="N389" s="1575"/>
      <c r="O389" s="1575">
        <v>97924.6</v>
      </c>
      <c r="P389" s="1575"/>
      <c r="Q389" s="1575">
        <v>0</v>
      </c>
      <c r="R389" s="1575"/>
      <c r="S389" s="1575"/>
      <c r="T389" s="1575"/>
      <c r="U389" s="1575"/>
    </row>
    <row r="390" spans="1:21" ht="10.9" customHeight="1">
      <c r="A390" s="1574" t="s">
        <v>1322</v>
      </c>
      <c r="B390" s="1574"/>
      <c r="C390" s="1574" t="s">
        <v>3242</v>
      </c>
      <c r="D390" s="1574"/>
      <c r="E390" s="1574"/>
      <c r="F390" s="1574" t="s">
        <v>3243</v>
      </c>
      <c r="G390" s="1574"/>
      <c r="H390" s="1574"/>
      <c r="I390" s="1574"/>
      <c r="J390" s="1412">
        <v>0</v>
      </c>
      <c r="K390" s="1412">
        <v>0</v>
      </c>
      <c r="L390" s="1412">
        <v>0</v>
      </c>
      <c r="M390" s="1575">
        <v>0</v>
      </c>
      <c r="N390" s="1575"/>
      <c r="O390" s="1575">
        <v>0</v>
      </c>
      <c r="P390" s="1575"/>
      <c r="Q390" s="1575">
        <v>0</v>
      </c>
      <c r="R390" s="1575"/>
      <c r="S390" s="1575"/>
      <c r="T390" s="1575"/>
      <c r="U390" s="1575"/>
    </row>
    <row r="391" spans="1:21" ht="10.9" customHeight="1">
      <c r="A391" s="1574" t="s">
        <v>1322</v>
      </c>
      <c r="B391" s="1574"/>
      <c r="C391" s="1574" t="s">
        <v>3222</v>
      </c>
      <c r="D391" s="1574"/>
      <c r="E391" s="1574"/>
      <c r="F391" s="1574" t="s">
        <v>3223</v>
      </c>
      <c r="G391" s="1574"/>
      <c r="H391" s="1574"/>
      <c r="I391" s="1574"/>
      <c r="J391" s="1412">
        <v>0</v>
      </c>
      <c r="K391" s="1412">
        <v>0</v>
      </c>
      <c r="L391" s="1412">
        <v>0</v>
      </c>
      <c r="M391" s="1575">
        <v>0</v>
      </c>
      <c r="N391" s="1575"/>
      <c r="O391" s="1575">
        <v>0</v>
      </c>
      <c r="P391" s="1575"/>
      <c r="Q391" s="1575">
        <v>0</v>
      </c>
      <c r="R391" s="1575"/>
      <c r="S391" s="1575"/>
      <c r="T391" s="1575"/>
      <c r="U391" s="1575"/>
    </row>
    <row r="392" spans="1:21" ht="10.9" customHeight="1">
      <c r="A392" s="1574" t="s">
        <v>1322</v>
      </c>
      <c r="B392" s="1574"/>
      <c r="C392" s="1574" t="s">
        <v>3355</v>
      </c>
      <c r="D392" s="1574"/>
      <c r="E392" s="1574"/>
      <c r="F392" s="1574" t="s">
        <v>3356</v>
      </c>
      <c r="G392" s="1574"/>
      <c r="H392" s="1574"/>
      <c r="I392" s="1574"/>
      <c r="J392" s="1412">
        <v>528.17999999999995</v>
      </c>
      <c r="K392" s="1412">
        <v>0</v>
      </c>
      <c r="L392" s="1412">
        <v>0</v>
      </c>
      <c r="M392" s="1575">
        <v>0</v>
      </c>
      <c r="N392" s="1575"/>
      <c r="O392" s="1575">
        <v>528.17999999999995</v>
      </c>
      <c r="P392" s="1575"/>
      <c r="Q392" s="1575">
        <v>0</v>
      </c>
      <c r="R392" s="1575"/>
      <c r="S392" s="1575"/>
      <c r="T392" s="1575"/>
      <c r="U392" s="1575"/>
    </row>
    <row r="393" spans="1:21" ht="10.9" customHeight="1">
      <c r="A393" s="1574" t="s">
        <v>1322</v>
      </c>
      <c r="B393" s="1574"/>
      <c r="C393" s="1574" t="s">
        <v>3224</v>
      </c>
      <c r="D393" s="1574"/>
      <c r="E393" s="1574"/>
      <c r="F393" s="1574" t="s">
        <v>3225</v>
      </c>
      <c r="G393" s="1574"/>
      <c r="H393" s="1574"/>
      <c r="I393" s="1574"/>
      <c r="J393" s="1412">
        <v>26787.94</v>
      </c>
      <c r="K393" s="1412">
        <v>0</v>
      </c>
      <c r="L393" s="1412">
        <v>1420.96</v>
      </c>
      <c r="M393" s="1575">
        <v>1420.96</v>
      </c>
      <c r="N393" s="1575"/>
      <c r="O393" s="1575">
        <v>26787.94</v>
      </c>
      <c r="P393" s="1575"/>
      <c r="Q393" s="1575">
        <v>0</v>
      </c>
      <c r="R393" s="1575"/>
      <c r="S393" s="1575"/>
      <c r="T393" s="1575"/>
      <c r="U393" s="1575"/>
    </row>
    <row r="394" spans="1:21" ht="10.9" customHeight="1">
      <c r="A394" s="1574" t="s">
        <v>1322</v>
      </c>
      <c r="B394" s="1574"/>
      <c r="C394" s="1574" t="s">
        <v>3292</v>
      </c>
      <c r="D394" s="1574"/>
      <c r="E394" s="1574"/>
      <c r="F394" s="1574" t="s">
        <v>3293</v>
      </c>
      <c r="G394" s="1574"/>
      <c r="H394" s="1574"/>
      <c r="I394" s="1574"/>
      <c r="J394" s="1412">
        <v>1738.83</v>
      </c>
      <c r="K394" s="1412">
        <v>0</v>
      </c>
      <c r="L394" s="1412">
        <v>533.79999999999995</v>
      </c>
      <c r="M394" s="1575">
        <v>0</v>
      </c>
      <c r="N394" s="1575"/>
      <c r="O394" s="1575">
        <v>2272.63</v>
      </c>
      <c r="P394" s="1575"/>
      <c r="Q394" s="1575">
        <v>0</v>
      </c>
      <c r="R394" s="1575"/>
      <c r="S394" s="1575"/>
      <c r="T394" s="1575"/>
      <c r="U394" s="1575"/>
    </row>
    <row r="395" spans="1:21" ht="10.9" customHeight="1">
      <c r="A395" s="1574" t="s">
        <v>1322</v>
      </c>
      <c r="B395" s="1574"/>
      <c r="C395" s="1574" t="s">
        <v>3232</v>
      </c>
      <c r="D395" s="1574"/>
      <c r="E395" s="1574"/>
      <c r="F395" s="1574" t="s">
        <v>3233</v>
      </c>
      <c r="G395" s="1574"/>
      <c r="H395" s="1574"/>
      <c r="I395" s="1574"/>
      <c r="J395" s="1412">
        <v>0</v>
      </c>
      <c r="K395" s="1412">
        <v>0</v>
      </c>
      <c r="L395" s="1412">
        <v>255.66</v>
      </c>
      <c r="M395" s="1575">
        <v>0</v>
      </c>
      <c r="N395" s="1575"/>
      <c r="O395" s="1575">
        <v>255.66</v>
      </c>
      <c r="P395" s="1575"/>
      <c r="Q395" s="1575">
        <v>0</v>
      </c>
      <c r="R395" s="1575"/>
      <c r="S395" s="1575"/>
      <c r="T395" s="1575"/>
      <c r="U395" s="1575"/>
    </row>
    <row r="396" spans="1:21" ht="10.9" customHeight="1">
      <c r="A396" s="1574" t="s">
        <v>1322</v>
      </c>
      <c r="B396" s="1574"/>
      <c r="C396" s="1574" t="s">
        <v>3244</v>
      </c>
      <c r="D396" s="1574"/>
      <c r="E396" s="1574"/>
      <c r="F396" s="1574" t="s">
        <v>3245</v>
      </c>
      <c r="G396" s="1574"/>
      <c r="H396" s="1574"/>
      <c r="I396" s="1574"/>
      <c r="J396" s="1412">
        <v>0</v>
      </c>
      <c r="K396" s="1412">
        <v>0</v>
      </c>
      <c r="L396" s="1412">
        <v>506.84</v>
      </c>
      <c r="M396" s="1575">
        <v>506.84</v>
      </c>
      <c r="N396" s="1575"/>
      <c r="O396" s="1575">
        <v>0</v>
      </c>
      <c r="P396" s="1575"/>
      <c r="Q396" s="1575">
        <v>0</v>
      </c>
      <c r="R396" s="1575"/>
      <c r="S396" s="1575"/>
      <c r="T396" s="1575"/>
      <c r="U396" s="1575"/>
    </row>
    <row r="397" spans="1:21" ht="10.9" customHeight="1">
      <c r="A397" s="1574" t="s">
        <v>1322</v>
      </c>
      <c r="B397" s="1574"/>
      <c r="C397" s="1574" t="s">
        <v>3234</v>
      </c>
      <c r="D397" s="1574"/>
      <c r="E397" s="1574"/>
      <c r="F397" s="1574" t="s">
        <v>3235</v>
      </c>
      <c r="G397" s="1574"/>
      <c r="H397" s="1574"/>
      <c r="I397" s="1574"/>
      <c r="J397" s="1412">
        <v>25942.01</v>
      </c>
      <c r="K397" s="1412">
        <v>0</v>
      </c>
      <c r="L397" s="1412">
        <v>0</v>
      </c>
      <c r="M397" s="1575">
        <v>25942.01</v>
      </c>
      <c r="N397" s="1575"/>
      <c r="O397" s="1575">
        <v>0</v>
      </c>
      <c r="P397" s="1575"/>
      <c r="Q397" s="1575">
        <v>0</v>
      </c>
      <c r="R397" s="1575"/>
      <c r="S397" s="1575"/>
      <c r="T397" s="1575"/>
      <c r="U397" s="1575"/>
    </row>
    <row r="398" spans="1:21" ht="10.9" customHeight="1">
      <c r="A398" s="1574" t="s">
        <v>1322</v>
      </c>
      <c r="B398" s="1574"/>
      <c r="C398" s="1574" t="s">
        <v>3236</v>
      </c>
      <c r="D398" s="1574"/>
      <c r="E398" s="1574"/>
      <c r="F398" s="1574" t="s">
        <v>3237</v>
      </c>
      <c r="G398" s="1574"/>
      <c r="H398" s="1574"/>
      <c r="I398" s="1574"/>
      <c r="J398" s="1412">
        <v>0</v>
      </c>
      <c r="K398" s="1412">
        <v>0</v>
      </c>
      <c r="L398" s="1412">
        <v>0</v>
      </c>
      <c r="M398" s="1575">
        <v>0</v>
      </c>
      <c r="N398" s="1575"/>
      <c r="O398" s="1575">
        <v>0</v>
      </c>
      <c r="P398" s="1575"/>
      <c r="Q398" s="1575">
        <v>0</v>
      </c>
      <c r="R398" s="1575"/>
      <c r="S398" s="1575"/>
      <c r="T398" s="1575"/>
      <c r="U398" s="1575"/>
    </row>
    <row r="399" spans="1:21" ht="10.9" customHeight="1">
      <c r="A399" s="1574" t="s">
        <v>1322</v>
      </c>
      <c r="B399" s="1574"/>
      <c r="C399" s="1574" t="s">
        <v>3238</v>
      </c>
      <c r="D399" s="1574"/>
      <c r="E399" s="1574"/>
      <c r="F399" s="1574" t="s">
        <v>3239</v>
      </c>
      <c r="G399" s="1574"/>
      <c r="H399" s="1574"/>
      <c r="I399" s="1574"/>
      <c r="J399" s="1412">
        <v>0</v>
      </c>
      <c r="K399" s="1412">
        <v>0</v>
      </c>
      <c r="L399" s="1412">
        <v>0</v>
      </c>
      <c r="M399" s="1575">
        <v>0</v>
      </c>
      <c r="N399" s="1575"/>
      <c r="O399" s="1575">
        <v>0</v>
      </c>
      <c r="P399" s="1575"/>
      <c r="Q399" s="1575">
        <v>0</v>
      </c>
      <c r="R399" s="1575"/>
      <c r="S399" s="1575"/>
      <c r="T399" s="1575"/>
      <c r="U399" s="1575"/>
    </row>
    <row r="400" spans="1:21" ht="10.9" customHeight="1">
      <c r="A400" s="1574" t="s">
        <v>1322</v>
      </c>
      <c r="B400" s="1574"/>
      <c r="C400" s="1574" t="s">
        <v>3294</v>
      </c>
      <c r="D400" s="1574"/>
      <c r="E400" s="1574"/>
      <c r="F400" s="1574" t="s">
        <v>3295</v>
      </c>
      <c r="G400" s="1574"/>
      <c r="H400" s="1574"/>
      <c r="I400" s="1574"/>
      <c r="J400" s="1412">
        <v>1036.94</v>
      </c>
      <c r="K400" s="1412">
        <v>0</v>
      </c>
      <c r="L400" s="1412">
        <v>600.91999999999996</v>
      </c>
      <c r="M400" s="1575">
        <v>600.91999999999996</v>
      </c>
      <c r="N400" s="1575"/>
      <c r="O400" s="1575">
        <v>1036.94</v>
      </c>
      <c r="P400" s="1575"/>
      <c r="Q400" s="1575">
        <v>0</v>
      </c>
      <c r="R400" s="1575"/>
      <c r="S400" s="1575"/>
      <c r="T400" s="1575"/>
      <c r="U400" s="1575"/>
    </row>
    <row r="401" spans="1:23" ht="10.9" customHeight="1">
      <c r="A401" s="1574" t="s">
        <v>1322</v>
      </c>
      <c r="B401" s="1574"/>
      <c r="C401" s="1574" t="s">
        <v>3296</v>
      </c>
      <c r="D401" s="1574"/>
      <c r="E401" s="1574"/>
      <c r="F401" s="1574" t="s">
        <v>3297</v>
      </c>
      <c r="G401" s="1574"/>
      <c r="H401" s="1574"/>
      <c r="I401" s="1574"/>
      <c r="J401" s="1412">
        <v>488.36</v>
      </c>
      <c r="K401" s="1412">
        <v>0</v>
      </c>
      <c r="L401" s="1412">
        <v>130.66999999999999</v>
      </c>
      <c r="M401" s="1575">
        <v>363.23</v>
      </c>
      <c r="N401" s="1575"/>
      <c r="O401" s="1575">
        <v>255.8</v>
      </c>
      <c r="P401" s="1575"/>
      <c r="Q401" s="1575">
        <v>0</v>
      </c>
      <c r="R401" s="1575"/>
      <c r="S401" s="1575"/>
      <c r="T401" s="1575"/>
      <c r="U401" s="1575"/>
    </row>
    <row r="402" spans="1:23" ht="10.9" customHeight="1">
      <c r="A402" s="1574" t="s">
        <v>1322</v>
      </c>
      <c r="B402" s="1574"/>
      <c r="C402" s="1574" t="s">
        <v>3298</v>
      </c>
      <c r="D402" s="1574"/>
      <c r="E402" s="1574"/>
      <c r="F402" s="1574" t="s">
        <v>3299</v>
      </c>
      <c r="G402" s="1574"/>
      <c r="H402" s="1574"/>
      <c r="I402" s="1574"/>
      <c r="J402" s="1412">
        <v>309.18</v>
      </c>
      <c r="K402" s="1412">
        <v>0</v>
      </c>
      <c r="L402" s="1412">
        <v>156.57</v>
      </c>
      <c r="M402" s="1575">
        <v>0</v>
      </c>
      <c r="N402" s="1575"/>
      <c r="O402" s="1575">
        <v>465.75</v>
      </c>
      <c r="P402" s="1575"/>
      <c r="Q402" s="1575">
        <v>0</v>
      </c>
      <c r="R402" s="1575"/>
      <c r="S402" s="1575"/>
      <c r="T402" s="1575"/>
      <c r="U402" s="1575"/>
    </row>
    <row r="403" spans="1:23" ht="10.9" customHeight="1">
      <c r="A403" s="1574" t="s">
        <v>1322</v>
      </c>
      <c r="B403" s="1574"/>
      <c r="C403" s="1574" t="s">
        <v>3357</v>
      </c>
      <c r="D403" s="1574"/>
      <c r="E403" s="1574"/>
      <c r="F403" s="1574" t="s">
        <v>3358</v>
      </c>
      <c r="G403" s="1574"/>
      <c r="H403" s="1574"/>
      <c r="I403" s="1574"/>
      <c r="J403" s="1412">
        <v>0</v>
      </c>
      <c r="K403" s="1412">
        <v>0</v>
      </c>
      <c r="L403" s="1412">
        <v>14605.37</v>
      </c>
      <c r="M403" s="1575">
        <v>14605.37</v>
      </c>
      <c r="N403" s="1575"/>
      <c r="O403" s="1575">
        <v>0</v>
      </c>
      <c r="P403" s="1575"/>
      <c r="Q403" s="1575">
        <v>0</v>
      </c>
      <c r="R403" s="1575"/>
      <c r="S403" s="1575"/>
      <c r="T403" s="1575"/>
      <c r="U403" s="1575"/>
    </row>
    <row r="404" spans="1:23" ht="10.9" customHeight="1">
      <c r="A404" s="1574" t="s">
        <v>1322</v>
      </c>
      <c r="B404" s="1574"/>
      <c r="C404" s="1574" t="s">
        <v>4009</v>
      </c>
      <c r="D404" s="1574"/>
      <c r="E404" s="1574"/>
      <c r="F404" s="1574" t="s">
        <v>4010</v>
      </c>
      <c r="G404" s="1574"/>
      <c r="H404" s="1574"/>
      <c r="I404" s="1574"/>
      <c r="J404" s="1412">
        <v>379.73</v>
      </c>
      <c r="K404" s="1412">
        <v>0</v>
      </c>
      <c r="L404" s="1412">
        <v>486.35</v>
      </c>
      <c r="M404" s="1575">
        <v>866.08</v>
      </c>
      <c r="N404" s="1575"/>
      <c r="O404" s="1575">
        <v>0</v>
      </c>
      <c r="P404" s="1575"/>
      <c r="Q404" s="1575">
        <v>0</v>
      </c>
      <c r="R404" s="1575"/>
      <c r="S404" s="1575"/>
      <c r="T404" s="1575"/>
      <c r="U404" s="1575"/>
    </row>
    <row r="405" spans="1:23" ht="10.9" customHeight="1">
      <c r="A405" s="1574" t="s">
        <v>1322</v>
      </c>
      <c r="B405" s="1574"/>
      <c r="C405" s="1574" t="s">
        <v>4011</v>
      </c>
      <c r="D405" s="1574"/>
      <c r="E405" s="1574"/>
      <c r="F405" s="1574" t="s">
        <v>4012</v>
      </c>
      <c r="G405" s="1574"/>
      <c r="H405" s="1574"/>
      <c r="I405" s="1574"/>
      <c r="J405" s="1412">
        <v>0</v>
      </c>
      <c r="K405" s="1412">
        <v>0</v>
      </c>
      <c r="L405" s="1412">
        <v>0</v>
      </c>
      <c r="M405" s="1575">
        <v>0</v>
      </c>
      <c r="N405" s="1575"/>
      <c r="O405" s="1575">
        <v>0</v>
      </c>
      <c r="P405" s="1575"/>
      <c r="Q405" s="1575">
        <v>0</v>
      </c>
      <c r="R405" s="1575"/>
      <c r="S405" s="1575"/>
      <c r="T405" s="1575"/>
      <c r="U405" s="1575"/>
    </row>
    <row r="406" spans="1:23" ht="10.9" customHeight="1">
      <c r="A406" s="1574" t="s">
        <v>1322</v>
      </c>
      <c r="B406" s="1574"/>
      <c r="C406" s="1574" t="s">
        <v>3359</v>
      </c>
      <c r="D406" s="1574"/>
      <c r="E406" s="1574"/>
      <c r="F406" s="1574" t="s">
        <v>3360</v>
      </c>
      <c r="G406" s="1574"/>
      <c r="H406" s="1574"/>
      <c r="I406" s="1574"/>
      <c r="J406" s="1412">
        <v>0</v>
      </c>
      <c r="K406" s="1412">
        <v>0</v>
      </c>
      <c r="L406" s="1412">
        <v>2471.7800000000002</v>
      </c>
      <c r="M406" s="1575">
        <v>2471.7800000000002</v>
      </c>
      <c r="N406" s="1575"/>
      <c r="O406" s="1575">
        <v>0</v>
      </c>
      <c r="P406" s="1575"/>
      <c r="Q406" s="1575">
        <v>0</v>
      </c>
      <c r="R406" s="1575"/>
      <c r="S406" s="1575"/>
      <c r="T406" s="1575"/>
      <c r="U406" s="1575"/>
    </row>
    <row r="407" spans="1:23" ht="10.9" customHeight="1">
      <c r="A407" s="1574" t="s">
        <v>1322</v>
      </c>
      <c r="B407" s="1574"/>
      <c r="C407" s="1574" t="s">
        <v>4013</v>
      </c>
      <c r="D407" s="1574"/>
      <c r="E407" s="1574"/>
      <c r="F407" s="1574" t="s">
        <v>4014</v>
      </c>
      <c r="G407" s="1574"/>
      <c r="H407" s="1574"/>
      <c r="I407" s="1574"/>
      <c r="J407" s="1412">
        <v>4419.79</v>
      </c>
      <c r="K407" s="1412">
        <v>0</v>
      </c>
      <c r="L407" s="1412">
        <v>1002.35</v>
      </c>
      <c r="M407" s="1575">
        <v>0</v>
      </c>
      <c r="N407" s="1575"/>
      <c r="O407" s="1575">
        <v>5422.14</v>
      </c>
      <c r="P407" s="1575"/>
      <c r="Q407" s="1575">
        <v>0</v>
      </c>
      <c r="R407" s="1575"/>
      <c r="S407" s="1575"/>
      <c r="T407" s="1575"/>
      <c r="U407" s="1575"/>
    </row>
    <row r="408" spans="1:23" ht="14.65" customHeight="1">
      <c r="S408" s="1573" t="s">
        <v>2180</v>
      </c>
      <c r="T408" s="1573"/>
      <c r="U408" s="1573"/>
      <c r="V408" s="1573"/>
      <c r="W408" s="1573"/>
    </row>
    <row r="409" spans="1:23" ht="7.15" customHeight="1">
      <c r="C409" s="1586" t="s">
        <v>2987</v>
      </c>
      <c r="D409" s="1586"/>
      <c r="E409" s="1586"/>
      <c r="F409" s="1586"/>
      <c r="G409" s="1586"/>
      <c r="H409" s="1586"/>
      <c r="I409" s="1586"/>
      <c r="J409" s="1586"/>
      <c r="K409" s="1586"/>
      <c r="L409" s="1586"/>
      <c r="M409" s="1586"/>
      <c r="N409" s="1586"/>
      <c r="O409" s="1586"/>
      <c r="P409" s="1586"/>
      <c r="Q409" s="1586"/>
      <c r="R409" s="1586"/>
      <c r="S409" s="1586"/>
      <c r="T409" s="1586"/>
    </row>
    <row r="410" spans="1:23" ht="9.6" customHeight="1">
      <c r="A410" s="1587"/>
      <c r="B410" s="1587"/>
      <c r="C410" s="1587"/>
      <c r="D410" s="1587"/>
      <c r="E410" s="1587"/>
      <c r="F410" s="1587"/>
      <c r="G410" s="1586"/>
      <c r="H410" s="1586"/>
      <c r="I410" s="1586"/>
      <c r="J410" s="1586"/>
      <c r="K410" s="1586"/>
      <c r="L410" s="1586"/>
      <c r="M410" s="1586"/>
      <c r="N410" s="1586"/>
      <c r="O410" s="1586"/>
      <c r="P410" s="1586"/>
      <c r="Q410" s="1586"/>
      <c r="R410" s="1586"/>
      <c r="S410" s="1586"/>
      <c r="T410" s="1586"/>
    </row>
    <row r="411" spans="1:23" ht="13.35" customHeight="1">
      <c r="A411" s="1587"/>
      <c r="B411" s="1587"/>
      <c r="C411" s="1587"/>
      <c r="D411" s="1587"/>
      <c r="E411" s="1587"/>
      <c r="F411" s="1587"/>
      <c r="G411" s="1588" t="s">
        <v>79</v>
      </c>
      <c r="H411" s="1588"/>
      <c r="I411" s="1588"/>
      <c r="J411" s="1588"/>
      <c r="K411" s="1588"/>
      <c r="L411" s="1588"/>
      <c r="M411" s="1588"/>
      <c r="N411" s="1588"/>
      <c r="O411" s="1588"/>
      <c r="P411" s="1588"/>
      <c r="Q411" s="1588"/>
      <c r="R411" s="1588"/>
    </row>
    <row r="412" spans="1:23" ht="5.25" customHeight="1">
      <c r="A412" s="1587"/>
      <c r="B412" s="1587"/>
      <c r="C412" s="1587"/>
      <c r="D412" s="1587"/>
      <c r="E412" s="1587"/>
      <c r="F412" s="1587"/>
      <c r="G412" s="1581" t="s">
        <v>7015</v>
      </c>
      <c r="H412" s="1581"/>
      <c r="I412" s="1581"/>
      <c r="J412" s="1581"/>
      <c r="K412" s="1581"/>
      <c r="L412" s="1581"/>
      <c r="M412" s="1581"/>
      <c r="N412" s="1581"/>
      <c r="O412" s="1581"/>
      <c r="P412" s="1581"/>
      <c r="Q412" s="1581"/>
    </row>
    <row r="413" spans="1:23" ht="8.1" customHeight="1">
      <c r="B413" s="1580" t="s">
        <v>1916</v>
      </c>
      <c r="C413" s="1580"/>
      <c r="D413" s="1580"/>
      <c r="E413" s="1580"/>
      <c r="F413" s="1580"/>
      <c r="G413" s="1580"/>
      <c r="H413" s="1581"/>
      <c r="I413" s="1581"/>
      <c r="J413" s="1581"/>
      <c r="K413" s="1581"/>
      <c r="L413" s="1581"/>
      <c r="M413" s="1581"/>
      <c r="N413" s="1582" t="s">
        <v>5619</v>
      </c>
      <c r="O413" s="1582"/>
      <c r="P413" s="1582"/>
      <c r="Q413" s="1582"/>
      <c r="R413" s="1582"/>
      <c r="S413" s="1582"/>
      <c r="T413" s="1583" t="s">
        <v>7016</v>
      </c>
      <c r="U413" s="1583"/>
      <c r="V413" s="1583"/>
      <c r="W413" s="1583"/>
    </row>
    <row r="414" spans="1:23" ht="6" customHeight="1">
      <c r="B414" s="1580"/>
      <c r="C414" s="1580"/>
      <c r="D414" s="1580"/>
      <c r="E414" s="1580"/>
      <c r="F414" s="1580"/>
      <c r="G414" s="1580"/>
      <c r="H414" s="1584" t="s">
        <v>7017</v>
      </c>
      <c r="I414" s="1584"/>
      <c r="J414" s="1584"/>
      <c r="K414" s="1584"/>
      <c r="L414" s="1584"/>
      <c r="M414" s="1584"/>
      <c r="N414" s="1582"/>
      <c r="O414" s="1582"/>
      <c r="P414" s="1582"/>
      <c r="Q414" s="1582"/>
      <c r="R414" s="1582"/>
      <c r="S414" s="1582"/>
      <c r="T414" s="1583"/>
      <c r="U414" s="1583"/>
      <c r="V414" s="1583"/>
      <c r="W414" s="1583"/>
    </row>
    <row r="415" spans="1:23" ht="7.35" customHeight="1">
      <c r="B415" s="1580" t="s">
        <v>1994</v>
      </c>
      <c r="C415" s="1580"/>
      <c r="D415" s="1580"/>
      <c r="E415" s="1585"/>
      <c r="F415" s="1585"/>
      <c r="G415" s="1585"/>
      <c r="H415" s="1585"/>
      <c r="I415" s="1585"/>
      <c r="J415" s="1585"/>
      <c r="K415" s="1585"/>
      <c r="L415" s="1585"/>
      <c r="M415" s="1585"/>
      <c r="N415" s="1585"/>
      <c r="O415" s="1585"/>
      <c r="P415" s="1585"/>
      <c r="Q415" s="1585"/>
      <c r="R415" s="1582"/>
      <c r="S415" s="1582"/>
      <c r="T415" s="1582" t="s">
        <v>7018</v>
      </c>
      <c r="U415" s="1582"/>
    </row>
    <row r="416" spans="1:23" ht="6.75" customHeight="1">
      <c r="E416" s="1585"/>
      <c r="F416" s="1585"/>
      <c r="G416" s="1585"/>
      <c r="H416" s="1585"/>
      <c r="I416" s="1585"/>
      <c r="J416" s="1585"/>
      <c r="K416" s="1585"/>
      <c r="L416" s="1585"/>
      <c r="M416" s="1585"/>
      <c r="N416" s="1585"/>
      <c r="O416" s="1585"/>
      <c r="P416" s="1585"/>
      <c r="Q416" s="1585"/>
      <c r="R416" s="1582"/>
      <c r="S416" s="1582"/>
      <c r="T416" s="1582"/>
      <c r="U416" s="1582"/>
    </row>
    <row r="417" spans="1:21" ht="10.9" customHeight="1">
      <c r="A417" s="1576"/>
      <c r="B417" s="1576"/>
      <c r="C417" s="1576"/>
      <c r="D417" s="1576"/>
      <c r="E417" s="1576"/>
      <c r="F417" s="1576"/>
      <c r="G417" s="1576"/>
      <c r="H417" s="1576"/>
      <c r="I417" s="1576"/>
      <c r="J417" s="1577" t="s">
        <v>1314</v>
      </c>
      <c r="K417" s="1577"/>
      <c r="L417" s="1577" t="s">
        <v>1315</v>
      </c>
      <c r="M417" s="1577"/>
      <c r="N417" s="1577"/>
      <c r="O417" s="1577" t="s">
        <v>1316</v>
      </c>
      <c r="P417" s="1577"/>
      <c r="Q417" s="1577"/>
      <c r="R417" s="1577"/>
      <c r="S417" s="1577"/>
      <c r="T417" s="1577"/>
      <c r="U417" s="1577"/>
    </row>
    <row r="418" spans="1:21" ht="14.1" customHeight="1">
      <c r="A418" s="1578" t="s">
        <v>1317</v>
      </c>
      <c r="B418" s="1578"/>
      <c r="C418" s="1578" t="s">
        <v>1318</v>
      </c>
      <c r="D418" s="1578"/>
      <c r="E418" s="1578"/>
      <c r="F418" s="1578" t="s">
        <v>1319</v>
      </c>
      <c r="G418" s="1578"/>
      <c r="H418" s="1578"/>
      <c r="I418" s="1578"/>
      <c r="J418" s="1413" t="s">
        <v>1320</v>
      </c>
      <c r="K418" s="1413" t="s">
        <v>1321</v>
      </c>
      <c r="L418" s="1413" t="s">
        <v>1320</v>
      </c>
      <c r="M418" s="1579" t="s">
        <v>1321</v>
      </c>
      <c r="N418" s="1579"/>
      <c r="O418" s="1579" t="s">
        <v>1320</v>
      </c>
      <c r="P418" s="1579"/>
      <c r="Q418" s="1579" t="s">
        <v>1321</v>
      </c>
      <c r="R418" s="1579"/>
      <c r="S418" s="1579"/>
      <c r="T418" s="1579"/>
      <c r="U418" s="1579"/>
    </row>
    <row r="419" spans="1:21" ht="14.1" customHeight="1">
      <c r="A419" s="1574" t="s">
        <v>1322</v>
      </c>
      <c r="B419" s="1574"/>
      <c r="C419" s="1574" t="s">
        <v>3361</v>
      </c>
      <c r="D419" s="1574"/>
      <c r="E419" s="1574"/>
      <c r="F419" s="1574" t="s">
        <v>3362</v>
      </c>
      <c r="G419" s="1574"/>
      <c r="H419" s="1574"/>
      <c r="I419" s="1574"/>
      <c r="J419" s="1412">
        <v>1386.11</v>
      </c>
      <c r="K419" s="1412">
        <v>0</v>
      </c>
      <c r="L419" s="1412">
        <v>2207.39</v>
      </c>
      <c r="M419" s="1575">
        <v>3593.5</v>
      </c>
      <c r="N419" s="1575"/>
      <c r="O419" s="1575">
        <v>0</v>
      </c>
      <c r="P419" s="1575"/>
      <c r="Q419" s="1575">
        <v>0</v>
      </c>
      <c r="R419" s="1575"/>
      <c r="S419" s="1575"/>
      <c r="T419" s="1575"/>
      <c r="U419" s="1575"/>
    </row>
    <row r="420" spans="1:21" ht="10.9" customHeight="1">
      <c r="A420" s="1574" t="s">
        <v>1322</v>
      </c>
      <c r="B420" s="1574"/>
      <c r="C420" s="1574" t="s">
        <v>4047</v>
      </c>
      <c r="D420" s="1574"/>
      <c r="E420" s="1574"/>
      <c r="F420" s="1574" t="s">
        <v>4048</v>
      </c>
      <c r="G420" s="1574"/>
      <c r="H420" s="1574"/>
      <c r="I420" s="1574"/>
      <c r="J420" s="1412">
        <v>0</v>
      </c>
      <c r="K420" s="1412">
        <v>0</v>
      </c>
      <c r="L420" s="1412">
        <v>713.47</v>
      </c>
      <c r="M420" s="1575">
        <v>713.47</v>
      </c>
      <c r="N420" s="1575"/>
      <c r="O420" s="1575">
        <v>0</v>
      </c>
      <c r="P420" s="1575"/>
      <c r="Q420" s="1575">
        <v>0</v>
      </c>
      <c r="R420" s="1575"/>
      <c r="S420" s="1575"/>
      <c r="T420" s="1575"/>
      <c r="U420" s="1575"/>
    </row>
    <row r="421" spans="1:21" ht="10.9" customHeight="1">
      <c r="A421" s="1574" t="s">
        <v>1322</v>
      </c>
      <c r="B421" s="1574"/>
      <c r="C421" s="1574" t="s">
        <v>4049</v>
      </c>
      <c r="D421" s="1574"/>
      <c r="E421" s="1574"/>
      <c r="F421" s="1574" t="s">
        <v>4050</v>
      </c>
      <c r="G421" s="1574"/>
      <c r="H421" s="1574"/>
      <c r="I421" s="1574"/>
      <c r="J421" s="1412">
        <v>3756.48</v>
      </c>
      <c r="K421" s="1412">
        <v>0</v>
      </c>
      <c r="L421" s="1412">
        <v>3131</v>
      </c>
      <c r="M421" s="1575">
        <v>6887.48</v>
      </c>
      <c r="N421" s="1575"/>
      <c r="O421" s="1575">
        <v>0</v>
      </c>
      <c r="P421" s="1575"/>
      <c r="Q421" s="1575">
        <v>0</v>
      </c>
      <c r="R421" s="1575"/>
      <c r="S421" s="1575"/>
      <c r="T421" s="1575"/>
      <c r="U421" s="1575"/>
    </row>
    <row r="422" spans="1:21" ht="10.9" customHeight="1">
      <c r="A422" s="1574" t="s">
        <v>1322</v>
      </c>
      <c r="B422" s="1574"/>
      <c r="C422" s="1574" t="s">
        <v>4015</v>
      </c>
      <c r="D422" s="1574"/>
      <c r="E422" s="1574"/>
      <c r="F422" s="1574" t="s">
        <v>4016</v>
      </c>
      <c r="G422" s="1574"/>
      <c r="H422" s="1574"/>
      <c r="I422" s="1574"/>
      <c r="J422" s="1412">
        <v>0</v>
      </c>
      <c r="K422" s="1412">
        <v>0</v>
      </c>
      <c r="L422" s="1412">
        <v>1576.34</v>
      </c>
      <c r="M422" s="1575">
        <v>1576.34</v>
      </c>
      <c r="N422" s="1575"/>
      <c r="O422" s="1575">
        <v>0</v>
      </c>
      <c r="P422" s="1575"/>
      <c r="Q422" s="1575">
        <v>0</v>
      </c>
      <c r="R422" s="1575"/>
      <c r="S422" s="1575"/>
      <c r="T422" s="1575"/>
      <c r="U422" s="1575"/>
    </row>
    <row r="423" spans="1:21" ht="10.9" customHeight="1">
      <c r="A423" s="1574" t="s">
        <v>1322</v>
      </c>
      <c r="B423" s="1574"/>
      <c r="C423" s="1574" t="s">
        <v>4017</v>
      </c>
      <c r="D423" s="1574"/>
      <c r="E423" s="1574"/>
      <c r="F423" s="1574" t="s">
        <v>4018</v>
      </c>
      <c r="G423" s="1574"/>
      <c r="H423" s="1574"/>
      <c r="I423" s="1574"/>
      <c r="J423" s="1412">
        <v>0</v>
      </c>
      <c r="K423" s="1412">
        <v>0</v>
      </c>
      <c r="L423" s="1412">
        <v>14519.15</v>
      </c>
      <c r="M423" s="1575">
        <v>14519.15</v>
      </c>
      <c r="N423" s="1575"/>
      <c r="O423" s="1575">
        <v>0</v>
      </c>
      <c r="P423" s="1575"/>
      <c r="Q423" s="1575">
        <v>0</v>
      </c>
      <c r="R423" s="1575"/>
      <c r="S423" s="1575"/>
      <c r="T423" s="1575"/>
      <c r="U423" s="1575"/>
    </row>
    <row r="424" spans="1:21" ht="10.9" customHeight="1">
      <c r="A424" s="1574" t="s">
        <v>1322</v>
      </c>
      <c r="B424" s="1574"/>
      <c r="C424" s="1574" t="s">
        <v>4019</v>
      </c>
      <c r="D424" s="1574"/>
      <c r="E424" s="1574"/>
      <c r="F424" s="1574" t="s">
        <v>4020</v>
      </c>
      <c r="G424" s="1574"/>
      <c r="H424" s="1574"/>
      <c r="I424" s="1574"/>
      <c r="J424" s="1412">
        <v>777.17</v>
      </c>
      <c r="K424" s="1412">
        <v>0</v>
      </c>
      <c r="L424" s="1412">
        <v>0</v>
      </c>
      <c r="M424" s="1575">
        <v>0</v>
      </c>
      <c r="N424" s="1575"/>
      <c r="O424" s="1575">
        <v>777.17</v>
      </c>
      <c r="P424" s="1575"/>
      <c r="Q424" s="1575">
        <v>0</v>
      </c>
      <c r="R424" s="1575"/>
      <c r="S424" s="1575"/>
      <c r="T424" s="1575"/>
      <c r="U424" s="1575"/>
    </row>
    <row r="425" spans="1:21" ht="10.9" customHeight="1">
      <c r="A425" s="1574" t="s">
        <v>1322</v>
      </c>
      <c r="B425" s="1574"/>
      <c r="C425" s="1574" t="s">
        <v>5310</v>
      </c>
      <c r="D425" s="1574"/>
      <c r="E425" s="1574"/>
      <c r="F425" s="1574" t="s">
        <v>2108</v>
      </c>
      <c r="G425" s="1574"/>
      <c r="H425" s="1574"/>
      <c r="I425" s="1574"/>
      <c r="J425" s="1412">
        <v>0</v>
      </c>
      <c r="K425" s="1412">
        <v>0</v>
      </c>
      <c r="L425" s="1412">
        <v>0</v>
      </c>
      <c r="M425" s="1575">
        <v>0</v>
      </c>
      <c r="N425" s="1575"/>
      <c r="O425" s="1575">
        <v>0</v>
      </c>
      <c r="P425" s="1575"/>
      <c r="Q425" s="1575">
        <v>0</v>
      </c>
      <c r="R425" s="1575"/>
      <c r="S425" s="1575"/>
      <c r="T425" s="1575"/>
      <c r="U425" s="1575"/>
    </row>
    <row r="426" spans="1:21" ht="19.149999999999999" customHeight="1">
      <c r="A426" s="1574" t="s">
        <v>1322</v>
      </c>
      <c r="B426" s="1574"/>
      <c r="C426" s="1574" t="s">
        <v>5777</v>
      </c>
      <c r="D426" s="1574"/>
      <c r="E426" s="1574"/>
      <c r="F426" s="1574" t="s">
        <v>5778</v>
      </c>
      <c r="G426" s="1574"/>
      <c r="H426" s="1574"/>
      <c r="I426" s="1574"/>
      <c r="J426" s="1412">
        <v>0</v>
      </c>
      <c r="K426" s="1412">
        <v>0</v>
      </c>
      <c r="L426" s="1412">
        <v>3569.26</v>
      </c>
      <c r="M426" s="1575">
        <v>3569.26</v>
      </c>
      <c r="N426" s="1575"/>
      <c r="O426" s="1575">
        <v>0</v>
      </c>
      <c r="P426" s="1575"/>
      <c r="Q426" s="1575">
        <v>0</v>
      </c>
      <c r="R426" s="1575"/>
      <c r="S426" s="1575"/>
      <c r="T426" s="1575"/>
      <c r="U426" s="1575"/>
    </row>
    <row r="427" spans="1:21" ht="10.9" customHeight="1">
      <c r="A427" s="1574" t="s">
        <v>1322</v>
      </c>
      <c r="B427" s="1574"/>
      <c r="C427" s="1574" t="s">
        <v>4118</v>
      </c>
      <c r="D427" s="1574"/>
      <c r="E427" s="1574"/>
      <c r="F427" s="1574" t="s">
        <v>4119</v>
      </c>
      <c r="G427" s="1574"/>
      <c r="H427" s="1574"/>
      <c r="I427" s="1574"/>
      <c r="J427" s="1412">
        <v>1197.32</v>
      </c>
      <c r="K427" s="1412">
        <v>0</v>
      </c>
      <c r="L427" s="1412">
        <v>123.67</v>
      </c>
      <c r="M427" s="1575">
        <v>0</v>
      </c>
      <c r="N427" s="1575"/>
      <c r="O427" s="1575">
        <v>1320.99</v>
      </c>
      <c r="P427" s="1575"/>
      <c r="Q427" s="1575">
        <v>0</v>
      </c>
      <c r="R427" s="1575"/>
      <c r="S427" s="1575"/>
      <c r="T427" s="1575"/>
      <c r="U427" s="1575"/>
    </row>
    <row r="428" spans="1:21" ht="10.9" customHeight="1">
      <c r="A428" s="1574" t="s">
        <v>1322</v>
      </c>
      <c r="B428" s="1574"/>
      <c r="C428" s="1574" t="s">
        <v>4120</v>
      </c>
      <c r="D428" s="1574"/>
      <c r="E428" s="1574"/>
      <c r="F428" s="1574" t="s">
        <v>4121</v>
      </c>
      <c r="G428" s="1574"/>
      <c r="H428" s="1574"/>
      <c r="I428" s="1574"/>
      <c r="J428" s="1412">
        <v>0</v>
      </c>
      <c r="K428" s="1412">
        <v>0</v>
      </c>
      <c r="L428" s="1412">
        <v>305.2</v>
      </c>
      <c r="M428" s="1575">
        <v>305.2</v>
      </c>
      <c r="N428" s="1575"/>
      <c r="O428" s="1575">
        <v>0</v>
      </c>
      <c r="P428" s="1575"/>
      <c r="Q428" s="1575">
        <v>0</v>
      </c>
      <c r="R428" s="1575"/>
      <c r="S428" s="1575"/>
      <c r="T428" s="1575"/>
      <c r="U428" s="1575"/>
    </row>
    <row r="429" spans="1:21" ht="10.9" customHeight="1">
      <c r="A429" s="1574" t="s">
        <v>1322</v>
      </c>
      <c r="B429" s="1574"/>
      <c r="C429" s="1574" t="s">
        <v>5779</v>
      </c>
      <c r="D429" s="1574"/>
      <c r="E429" s="1574"/>
      <c r="F429" s="1574" t="s">
        <v>5780</v>
      </c>
      <c r="G429" s="1574"/>
      <c r="H429" s="1574"/>
      <c r="I429" s="1574"/>
      <c r="J429" s="1412">
        <v>0</v>
      </c>
      <c r="K429" s="1412">
        <v>0</v>
      </c>
      <c r="L429" s="1412">
        <v>4370.6000000000004</v>
      </c>
      <c r="M429" s="1575">
        <v>0</v>
      </c>
      <c r="N429" s="1575"/>
      <c r="O429" s="1575">
        <v>4370.6000000000004</v>
      </c>
      <c r="P429" s="1575"/>
      <c r="Q429" s="1575">
        <v>0</v>
      </c>
      <c r="R429" s="1575"/>
      <c r="S429" s="1575"/>
      <c r="T429" s="1575"/>
      <c r="U429" s="1575"/>
    </row>
    <row r="430" spans="1:21" ht="10.9" customHeight="1">
      <c r="A430" s="1574" t="s">
        <v>1322</v>
      </c>
      <c r="B430" s="1574"/>
      <c r="C430" s="1574" t="s">
        <v>5267</v>
      </c>
      <c r="D430" s="1574"/>
      <c r="E430" s="1574"/>
      <c r="F430" s="1574" t="s">
        <v>5268</v>
      </c>
      <c r="G430" s="1574"/>
      <c r="H430" s="1574"/>
      <c r="I430" s="1574"/>
      <c r="J430" s="1412">
        <v>0</v>
      </c>
      <c r="K430" s="1412">
        <v>0</v>
      </c>
      <c r="L430" s="1412">
        <v>100.68</v>
      </c>
      <c r="M430" s="1575">
        <v>0</v>
      </c>
      <c r="N430" s="1575"/>
      <c r="O430" s="1575">
        <v>100.68</v>
      </c>
      <c r="P430" s="1575"/>
      <c r="Q430" s="1575">
        <v>0</v>
      </c>
      <c r="R430" s="1575"/>
      <c r="S430" s="1575"/>
      <c r="T430" s="1575"/>
      <c r="U430" s="1575"/>
    </row>
    <row r="431" spans="1:21" ht="10.9" customHeight="1">
      <c r="A431" s="1574" t="s">
        <v>1322</v>
      </c>
      <c r="B431" s="1574"/>
      <c r="C431" s="1574" t="s">
        <v>5223</v>
      </c>
      <c r="D431" s="1574"/>
      <c r="E431" s="1574"/>
      <c r="F431" s="1574" t="s">
        <v>5224</v>
      </c>
      <c r="G431" s="1574"/>
      <c r="H431" s="1574"/>
      <c r="I431" s="1574"/>
      <c r="J431" s="1412">
        <v>3892.17</v>
      </c>
      <c r="K431" s="1412">
        <v>0</v>
      </c>
      <c r="L431" s="1412">
        <v>0</v>
      </c>
      <c r="M431" s="1575">
        <v>0</v>
      </c>
      <c r="N431" s="1575"/>
      <c r="O431" s="1575">
        <v>3892.17</v>
      </c>
      <c r="P431" s="1575"/>
      <c r="Q431" s="1575">
        <v>0</v>
      </c>
      <c r="R431" s="1575"/>
      <c r="S431" s="1575"/>
      <c r="T431" s="1575"/>
      <c r="U431" s="1575"/>
    </row>
    <row r="432" spans="1:21" ht="10.9" customHeight="1">
      <c r="A432" s="1574" t="s">
        <v>1322</v>
      </c>
      <c r="B432" s="1574"/>
      <c r="C432" s="1574" t="s">
        <v>5269</v>
      </c>
      <c r="D432" s="1574"/>
      <c r="E432" s="1574"/>
      <c r="F432" s="1574" t="s">
        <v>5270</v>
      </c>
      <c r="G432" s="1574"/>
      <c r="H432" s="1574"/>
      <c r="I432" s="1574"/>
      <c r="J432" s="1412">
        <v>415.79</v>
      </c>
      <c r="K432" s="1412">
        <v>0</v>
      </c>
      <c r="L432" s="1412">
        <v>863.3</v>
      </c>
      <c r="M432" s="1575">
        <v>0</v>
      </c>
      <c r="N432" s="1575"/>
      <c r="O432" s="1575">
        <v>1279.0899999999999</v>
      </c>
      <c r="P432" s="1575"/>
      <c r="Q432" s="1575">
        <v>0</v>
      </c>
      <c r="R432" s="1575"/>
      <c r="S432" s="1575"/>
      <c r="T432" s="1575"/>
      <c r="U432" s="1575"/>
    </row>
    <row r="433" spans="1:21" ht="10.9" customHeight="1">
      <c r="A433" s="1574" t="s">
        <v>1322</v>
      </c>
      <c r="B433" s="1574"/>
      <c r="C433" s="1574" t="s">
        <v>5271</v>
      </c>
      <c r="D433" s="1574"/>
      <c r="E433" s="1574"/>
      <c r="F433" s="1574" t="s">
        <v>5272</v>
      </c>
      <c r="G433" s="1574"/>
      <c r="H433" s="1574"/>
      <c r="I433" s="1574"/>
      <c r="J433" s="1412">
        <v>0</v>
      </c>
      <c r="K433" s="1412">
        <v>0</v>
      </c>
      <c r="L433" s="1412">
        <v>1273.94</v>
      </c>
      <c r="M433" s="1575">
        <v>1273.94</v>
      </c>
      <c r="N433" s="1575"/>
      <c r="O433" s="1575">
        <v>0</v>
      </c>
      <c r="P433" s="1575"/>
      <c r="Q433" s="1575">
        <v>0</v>
      </c>
      <c r="R433" s="1575"/>
      <c r="S433" s="1575"/>
      <c r="T433" s="1575"/>
      <c r="U433" s="1575"/>
    </row>
    <row r="434" spans="1:21" ht="10.9" customHeight="1">
      <c r="A434" s="1574" t="s">
        <v>1322</v>
      </c>
      <c r="B434" s="1574"/>
      <c r="C434" s="1574" t="s">
        <v>5311</v>
      </c>
      <c r="D434" s="1574"/>
      <c r="E434" s="1574"/>
      <c r="F434" s="1574" t="s">
        <v>5312</v>
      </c>
      <c r="G434" s="1574"/>
      <c r="H434" s="1574"/>
      <c r="I434" s="1574"/>
      <c r="J434" s="1412">
        <v>0</v>
      </c>
      <c r="K434" s="1412">
        <v>0</v>
      </c>
      <c r="L434" s="1412">
        <v>8951.19</v>
      </c>
      <c r="M434" s="1575">
        <v>8951.19</v>
      </c>
      <c r="N434" s="1575"/>
      <c r="O434" s="1575">
        <v>0</v>
      </c>
      <c r="P434" s="1575"/>
      <c r="Q434" s="1575">
        <v>0</v>
      </c>
      <c r="R434" s="1575"/>
      <c r="S434" s="1575"/>
      <c r="T434" s="1575"/>
      <c r="U434" s="1575"/>
    </row>
    <row r="435" spans="1:21" ht="10.9" customHeight="1">
      <c r="A435" s="1574" t="s">
        <v>1322</v>
      </c>
      <c r="B435" s="1574"/>
      <c r="C435" s="1574" t="s">
        <v>5273</v>
      </c>
      <c r="D435" s="1574"/>
      <c r="E435" s="1574"/>
      <c r="F435" s="1574" t="s">
        <v>5274</v>
      </c>
      <c r="G435" s="1574"/>
      <c r="H435" s="1574"/>
      <c r="I435" s="1574"/>
      <c r="J435" s="1412">
        <v>0</v>
      </c>
      <c r="K435" s="1412">
        <v>0</v>
      </c>
      <c r="L435" s="1412">
        <v>1798.7</v>
      </c>
      <c r="M435" s="1575">
        <v>1798.7</v>
      </c>
      <c r="N435" s="1575"/>
      <c r="O435" s="1575">
        <v>0</v>
      </c>
      <c r="P435" s="1575"/>
      <c r="Q435" s="1575">
        <v>0</v>
      </c>
      <c r="R435" s="1575"/>
      <c r="S435" s="1575"/>
      <c r="T435" s="1575"/>
      <c r="U435" s="1575"/>
    </row>
    <row r="436" spans="1:21" ht="10.9" customHeight="1">
      <c r="A436" s="1574" t="s">
        <v>1322</v>
      </c>
      <c r="B436" s="1574"/>
      <c r="C436" s="1574" t="s">
        <v>5313</v>
      </c>
      <c r="D436" s="1574"/>
      <c r="E436" s="1574"/>
      <c r="F436" s="1574" t="s">
        <v>5314</v>
      </c>
      <c r="G436" s="1574"/>
      <c r="H436" s="1574"/>
      <c r="I436" s="1574"/>
      <c r="J436" s="1412">
        <v>0</v>
      </c>
      <c r="K436" s="1412">
        <v>0</v>
      </c>
      <c r="L436" s="1412">
        <v>740.3</v>
      </c>
      <c r="M436" s="1575">
        <v>740.3</v>
      </c>
      <c r="N436" s="1575"/>
      <c r="O436" s="1575">
        <v>0</v>
      </c>
      <c r="P436" s="1575"/>
      <c r="Q436" s="1575">
        <v>0</v>
      </c>
      <c r="R436" s="1575"/>
      <c r="S436" s="1575"/>
      <c r="T436" s="1575"/>
      <c r="U436" s="1575"/>
    </row>
    <row r="437" spans="1:21" ht="19.149999999999999" customHeight="1">
      <c r="A437" s="1574" t="s">
        <v>1322</v>
      </c>
      <c r="B437" s="1574"/>
      <c r="C437" s="1574" t="s">
        <v>5275</v>
      </c>
      <c r="D437" s="1574"/>
      <c r="E437" s="1574"/>
      <c r="F437" s="1574" t="s">
        <v>5276</v>
      </c>
      <c r="G437" s="1574"/>
      <c r="H437" s="1574"/>
      <c r="I437" s="1574"/>
      <c r="J437" s="1412">
        <v>0</v>
      </c>
      <c r="K437" s="1412">
        <v>0</v>
      </c>
      <c r="L437" s="1412">
        <v>0</v>
      </c>
      <c r="M437" s="1575">
        <v>0</v>
      </c>
      <c r="N437" s="1575"/>
      <c r="O437" s="1575">
        <v>0</v>
      </c>
      <c r="P437" s="1575"/>
      <c r="Q437" s="1575">
        <v>0</v>
      </c>
      <c r="R437" s="1575"/>
      <c r="S437" s="1575"/>
      <c r="T437" s="1575"/>
      <c r="U437" s="1575"/>
    </row>
    <row r="438" spans="1:21" ht="19.149999999999999" customHeight="1">
      <c r="A438" s="1574" t="s">
        <v>1322</v>
      </c>
      <c r="B438" s="1574"/>
      <c r="C438" s="1574" t="s">
        <v>5315</v>
      </c>
      <c r="D438" s="1574"/>
      <c r="E438" s="1574"/>
      <c r="F438" s="1574" t="s">
        <v>5316</v>
      </c>
      <c r="G438" s="1574"/>
      <c r="H438" s="1574"/>
      <c r="I438" s="1574"/>
      <c r="J438" s="1412">
        <v>0</v>
      </c>
      <c r="K438" s="1412">
        <v>0</v>
      </c>
      <c r="L438" s="1412">
        <v>1727.02</v>
      </c>
      <c r="M438" s="1575">
        <v>1727.02</v>
      </c>
      <c r="N438" s="1575"/>
      <c r="O438" s="1575">
        <v>0</v>
      </c>
      <c r="P438" s="1575"/>
      <c r="Q438" s="1575">
        <v>0</v>
      </c>
      <c r="R438" s="1575"/>
      <c r="S438" s="1575"/>
      <c r="T438" s="1575"/>
      <c r="U438" s="1575"/>
    </row>
    <row r="439" spans="1:21" ht="10.9" customHeight="1">
      <c r="A439" s="1574" t="s">
        <v>1322</v>
      </c>
      <c r="B439" s="1574"/>
      <c r="C439" s="1574" t="s">
        <v>5317</v>
      </c>
      <c r="D439" s="1574"/>
      <c r="E439" s="1574"/>
      <c r="F439" s="1574" t="s">
        <v>5318</v>
      </c>
      <c r="G439" s="1574"/>
      <c r="H439" s="1574"/>
      <c r="I439" s="1574"/>
      <c r="J439" s="1412">
        <v>0</v>
      </c>
      <c r="K439" s="1412">
        <v>0</v>
      </c>
      <c r="L439" s="1412">
        <v>0</v>
      </c>
      <c r="M439" s="1575">
        <v>0</v>
      </c>
      <c r="N439" s="1575"/>
      <c r="O439" s="1575">
        <v>0</v>
      </c>
      <c r="P439" s="1575"/>
      <c r="Q439" s="1575">
        <v>0</v>
      </c>
      <c r="R439" s="1575"/>
      <c r="S439" s="1575"/>
      <c r="T439" s="1575"/>
      <c r="U439" s="1575"/>
    </row>
    <row r="440" spans="1:21" ht="10.9" customHeight="1">
      <c r="A440" s="1574" t="s">
        <v>1322</v>
      </c>
      <c r="B440" s="1574"/>
      <c r="C440" s="1574" t="s">
        <v>5587</v>
      </c>
      <c r="D440" s="1574"/>
      <c r="E440" s="1574"/>
      <c r="F440" s="1574" t="s">
        <v>5588</v>
      </c>
      <c r="G440" s="1574"/>
      <c r="H440" s="1574"/>
      <c r="I440" s="1574"/>
      <c r="J440" s="1412">
        <v>0</v>
      </c>
      <c r="K440" s="1412">
        <v>0</v>
      </c>
      <c r="L440" s="1412">
        <v>16373.06</v>
      </c>
      <c r="M440" s="1575">
        <v>16373.06</v>
      </c>
      <c r="N440" s="1575"/>
      <c r="O440" s="1575">
        <v>0</v>
      </c>
      <c r="P440" s="1575"/>
      <c r="Q440" s="1575">
        <v>0</v>
      </c>
      <c r="R440" s="1575"/>
      <c r="S440" s="1575"/>
      <c r="T440" s="1575"/>
      <c r="U440" s="1575"/>
    </row>
    <row r="441" spans="1:21" ht="10.9" customHeight="1">
      <c r="A441" s="1574" t="s">
        <v>1322</v>
      </c>
      <c r="B441" s="1574"/>
      <c r="C441" s="1574" t="s">
        <v>5589</v>
      </c>
      <c r="D441" s="1574"/>
      <c r="E441" s="1574"/>
      <c r="F441" s="1574" t="s">
        <v>5590</v>
      </c>
      <c r="G441" s="1574"/>
      <c r="H441" s="1574"/>
      <c r="I441" s="1574"/>
      <c r="J441" s="1412">
        <v>0</v>
      </c>
      <c r="K441" s="1412">
        <v>0</v>
      </c>
      <c r="L441" s="1412">
        <v>701864.78</v>
      </c>
      <c r="M441" s="1575">
        <v>701864.78</v>
      </c>
      <c r="N441" s="1575"/>
      <c r="O441" s="1575">
        <v>0</v>
      </c>
      <c r="P441" s="1575"/>
      <c r="Q441" s="1575">
        <v>0</v>
      </c>
      <c r="R441" s="1575"/>
      <c r="S441" s="1575"/>
      <c r="T441" s="1575"/>
      <c r="U441" s="1575"/>
    </row>
    <row r="442" spans="1:21" ht="10.9" customHeight="1">
      <c r="A442" s="1574" t="s">
        <v>1322</v>
      </c>
      <c r="B442" s="1574"/>
      <c r="C442" s="1574" t="s">
        <v>5662</v>
      </c>
      <c r="D442" s="1574"/>
      <c r="E442" s="1574"/>
      <c r="F442" s="1574" t="s">
        <v>5663</v>
      </c>
      <c r="G442" s="1574"/>
      <c r="H442" s="1574"/>
      <c r="I442" s="1574"/>
      <c r="J442" s="1412">
        <v>250.5</v>
      </c>
      <c r="K442" s="1412">
        <v>0</v>
      </c>
      <c r="L442" s="1412">
        <v>0</v>
      </c>
      <c r="M442" s="1575">
        <v>0</v>
      </c>
      <c r="N442" s="1575"/>
      <c r="O442" s="1575">
        <v>250.5</v>
      </c>
      <c r="P442" s="1575"/>
      <c r="Q442" s="1575">
        <v>0</v>
      </c>
      <c r="R442" s="1575"/>
      <c r="S442" s="1575"/>
      <c r="T442" s="1575"/>
      <c r="U442" s="1575"/>
    </row>
    <row r="443" spans="1:21" ht="10.9" customHeight="1">
      <c r="A443" s="1574" t="s">
        <v>1322</v>
      </c>
      <c r="B443" s="1574"/>
      <c r="C443" s="1574" t="s">
        <v>5591</v>
      </c>
      <c r="D443" s="1574"/>
      <c r="E443" s="1574"/>
      <c r="F443" s="1574" t="s">
        <v>5592</v>
      </c>
      <c r="G443" s="1574"/>
      <c r="H443" s="1574"/>
      <c r="I443" s="1574"/>
      <c r="J443" s="1412">
        <v>0</v>
      </c>
      <c r="K443" s="1412">
        <v>0</v>
      </c>
      <c r="L443" s="1412">
        <v>106.63</v>
      </c>
      <c r="M443" s="1575">
        <v>0</v>
      </c>
      <c r="N443" s="1575"/>
      <c r="O443" s="1575">
        <v>106.63</v>
      </c>
      <c r="P443" s="1575"/>
      <c r="Q443" s="1575">
        <v>0</v>
      </c>
      <c r="R443" s="1575"/>
      <c r="S443" s="1575"/>
      <c r="T443" s="1575"/>
      <c r="U443" s="1575"/>
    </row>
    <row r="444" spans="1:21" ht="10.9" customHeight="1">
      <c r="A444" s="1574" t="s">
        <v>1322</v>
      </c>
      <c r="B444" s="1574"/>
      <c r="C444" s="1574" t="s">
        <v>5664</v>
      </c>
      <c r="D444" s="1574"/>
      <c r="E444" s="1574"/>
      <c r="F444" s="1574" t="s">
        <v>5665</v>
      </c>
      <c r="G444" s="1574"/>
      <c r="H444" s="1574"/>
      <c r="I444" s="1574"/>
      <c r="J444" s="1412">
        <v>23846.25</v>
      </c>
      <c r="K444" s="1412">
        <v>0</v>
      </c>
      <c r="L444" s="1412">
        <v>558.11</v>
      </c>
      <c r="M444" s="1575">
        <v>0</v>
      </c>
      <c r="N444" s="1575"/>
      <c r="O444" s="1575">
        <v>24404.36</v>
      </c>
      <c r="P444" s="1575"/>
      <c r="Q444" s="1575">
        <v>0</v>
      </c>
      <c r="R444" s="1575"/>
      <c r="S444" s="1575"/>
      <c r="T444" s="1575"/>
      <c r="U444" s="1575"/>
    </row>
    <row r="445" spans="1:21" ht="10.9" customHeight="1">
      <c r="A445" s="1574" t="s">
        <v>1322</v>
      </c>
      <c r="B445" s="1574"/>
      <c r="C445" s="1574" t="s">
        <v>5593</v>
      </c>
      <c r="D445" s="1574"/>
      <c r="E445" s="1574"/>
      <c r="F445" s="1574" t="s">
        <v>5594</v>
      </c>
      <c r="G445" s="1574"/>
      <c r="H445" s="1574"/>
      <c r="I445" s="1574"/>
      <c r="J445" s="1412">
        <v>808.86</v>
      </c>
      <c r="K445" s="1412">
        <v>0</v>
      </c>
      <c r="L445" s="1412">
        <v>430.39</v>
      </c>
      <c r="M445" s="1575">
        <v>430.39</v>
      </c>
      <c r="N445" s="1575"/>
      <c r="O445" s="1575">
        <v>808.86</v>
      </c>
      <c r="P445" s="1575"/>
      <c r="Q445" s="1575">
        <v>0</v>
      </c>
      <c r="R445" s="1575"/>
      <c r="S445" s="1575"/>
      <c r="T445" s="1575"/>
      <c r="U445" s="1575"/>
    </row>
    <row r="446" spans="1:21" ht="10.9" customHeight="1">
      <c r="A446" s="1574" t="s">
        <v>1322</v>
      </c>
      <c r="B446" s="1574"/>
      <c r="C446" s="1574" t="s">
        <v>6254</v>
      </c>
      <c r="D446" s="1574"/>
      <c r="E446" s="1574"/>
      <c r="F446" s="1574" t="s">
        <v>6255</v>
      </c>
      <c r="G446" s="1574"/>
      <c r="H446" s="1574"/>
      <c r="I446" s="1574"/>
      <c r="J446" s="1412">
        <v>0</v>
      </c>
      <c r="K446" s="1412">
        <v>0</v>
      </c>
      <c r="L446" s="1412">
        <v>0</v>
      </c>
      <c r="M446" s="1575">
        <v>0</v>
      </c>
      <c r="N446" s="1575"/>
      <c r="O446" s="1575">
        <v>0</v>
      </c>
      <c r="P446" s="1575"/>
      <c r="Q446" s="1575">
        <v>0</v>
      </c>
      <c r="R446" s="1575"/>
      <c r="S446" s="1575"/>
      <c r="T446" s="1575"/>
      <c r="U446" s="1575"/>
    </row>
    <row r="447" spans="1:21" ht="10.9" customHeight="1">
      <c r="A447" s="1574" t="s">
        <v>1322</v>
      </c>
      <c r="B447" s="1574"/>
      <c r="C447" s="1574" t="s">
        <v>5595</v>
      </c>
      <c r="D447" s="1574"/>
      <c r="E447" s="1574"/>
      <c r="F447" s="1574" t="s">
        <v>5596</v>
      </c>
      <c r="G447" s="1574"/>
      <c r="H447" s="1574"/>
      <c r="I447" s="1574"/>
      <c r="J447" s="1412">
        <v>2982.35</v>
      </c>
      <c r="K447" s="1412">
        <v>0</v>
      </c>
      <c r="L447" s="1412">
        <v>875.2</v>
      </c>
      <c r="M447" s="1575">
        <v>0</v>
      </c>
      <c r="N447" s="1575"/>
      <c r="O447" s="1575">
        <v>3857.55</v>
      </c>
      <c r="P447" s="1575"/>
      <c r="Q447" s="1575">
        <v>0</v>
      </c>
      <c r="R447" s="1575"/>
      <c r="S447" s="1575"/>
      <c r="T447" s="1575"/>
      <c r="U447" s="1575"/>
    </row>
    <row r="448" spans="1:21" ht="10.9" customHeight="1">
      <c r="A448" s="1574" t="s">
        <v>1322</v>
      </c>
      <c r="B448" s="1574"/>
      <c r="C448" s="1574" t="s">
        <v>5666</v>
      </c>
      <c r="D448" s="1574"/>
      <c r="E448" s="1574"/>
      <c r="F448" s="1574" t="s">
        <v>5667</v>
      </c>
      <c r="G448" s="1574"/>
      <c r="H448" s="1574"/>
      <c r="I448" s="1574"/>
      <c r="J448" s="1412">
        <v>1704.48</v>
      </c>
      <c r="K448" s="1412">
        <v>0</v>
      </c>
      <c r="L448" s="1412">
        <v>1799.61</v>
      </c>
      <c r="M448" s="1575">
        <v>1799.61</v>
      </c>
      <c r="N448" s="1575"/>
      <c r="O448" s="1575">
        <v>1704.48</v>
      </c>
      <c r="P448" s="1575"/>
      <c r="Q448" s="1575">
        <v>0</v>
      </c>
      <c r="R448" s="1575"/>
      <c r="S448" s="1575"/>
      <c r="T448" s="1575"/>
      <c r="U448" s="1575"/>
    </row>
    <row r="449" spans="1:23" ht="10.9" customHeight="1">
      <c r="A449" s="1574" t="s">
        <v>1322</v>
      </c>
      <c r="B449" s="1574"/>
      <c r="C449" s="1574" t="s">
        <v>5668</v>
      </c>
      <c r="D449" s="1574"/>
      <c r="E449" s="1574"/>
      <c r="F449" s="1574" t="s">
        <v>5669</v>
      </c>
      <c r="G449" s="1574"/>
      <c r="H449" s="1574"/>
      <c r="I449" s="1574"/>
      <c r="J449" s="1412">
        <v>0</v>
      </c>
      <c r="K449" s="1412">
        <v>0</v>
      </c>
      <c r="L449" s="1412">
        <v>1080.99</v>
      </c>
      <c r="M449" s="1575">
        <v>1080.99</v>
      </c>
      <c r="N449" s="1575"/>
      <c r="O449" s="1575">
        <v>0</v>
      </c>
      <c r="P449" s="1575"/>
      <c r="Q449" s="1575">
        <v>0</v>
      </c>
      <c r="R449" s="1575"/>
      <c r="S449" s="1575"/>
      <c r="T449" s="1575"/>
      <c r="U449" s="1575"/>
    </row>
    <row r="450" spans="1:23" ht="10.9" customHeight="1">
      <c r="A450" s="1574" t="s">
        <v>1322</v>
      </c>
      <c r="B450" s="1574"/>
      <c r="C450" s="1574" t="s">
        <v>5670</v>
      </c>
      <c r="D450" s="1574"/>
      <c r="E450" s="1574"/>
      <c r="F450" s="1574" t="s">
        <v>5671</v>
      </c>
      <c r="G450" s="1574"/>
      <c r="H450" s="1574"/>
      <c r="I450" s="1574"/>
      <c r="J450" s="1412">
        <v>0</v>
      </c>
      <c r="K450" s="1412">
        <v>0</v>
      </c>
      <c r="L450" s="1412">
        <v>1677.85</v>
      </c>
      <c r="M450" s="1575">
        <v>1677.85</v>
      </c>
      <c r="N450" s="1575"/>
      <c r="O450" s="1575">
        <v>0</v>
      </c>
      <c r="P450" s="1575"/>
      <c r="Q450" s="1575">
        <v>0</v>
      </c>
      <c r="R450" s="1575"/>
      <c r="S450" s="1575"/>
      <c r="T450" s="1575"/>
      <c r="U450" s="1575"/>
    </row>
    <row r="451" spans="1:23" ht="10.9" customHeight="1">
      <c r="A451" s="1574" t="s">
        <v>1322</v>
      </c>
      <c r="B451" s="1574"/>
      <c r="C451" s="1574" t="s">
        <v>5672</v>
      </c>
      <c r="D451" s="1574"/>
      <c r="E451" s="1574"/>
      <c r="F451" s="1574" t="s">
        <v>2128</v>
      </c>
      <c r="G451" s="1574"/>
      <c r="H451" s="1574"/>
      <c r="I451" s="1574"/>
      <c r="J451" s="1412">
        <v>0</v>
      </c>
      <c r="K451" s="1412">
        <v>0</v>
      </c>
      <c r="L451" s="1412">
        <v>1901.78</v>
      </c>
      <c r="M451" s="1575">
        <v>1901.78</v>
      </c>
      <c r="N451" s="1575"/>
      <c r="O451" s="1575">
        <v>0</v>
      </c>
      <c r="P451" s="1575"/>
      <c r="Q451" s="1575">
        <v>0</v>
      </c>
      <c r="R451" s="1575"/>
      <c r="S451" s="1575"/>
      <c r="T451" s="1575"/>
      <c r="U451" s="1575"/>
    </row>
    <row r="452" spans="1:23" ht="19.149999999999999" customHeight="1">
      <c r="A452" s="1574" t="s">
        <v>1322</v>
      </c>
      <c r="B452" s="1574"/>
      <c r="C452" s="1574" t="s">
        <v>5781</v>
      </c>
      <c r="D452" s="1574"/>
      <c r="E452" s="1574"/>
      <c r="F452" s="1574" t="s">
        <v>5782</v>
      </c>
      <c r="G452" s="1574"/>
      <c r="H452" s="1574"/>
      <c r="I452" s="1574"/>
      <c r="J452" s="1412">
        <v>0</v>
      </c>
      <c r="K452" s="1412">
        <v>0</v>
      </c>
      <c r="L452" s="1412">
        <v>201.37</v>
      </c>
      <c r="M452" s="1575">
        <v>201.37</v>
      </c>
      <c r="N452" s="1575"/>
      <c r="O452" s="1575">
        <v>0</v>
      </c>
      <c r="P452" s="1575"/>
      <c r="Q452" s="1575">
        <v>0</v>
      </c>
      <c r="R452" s="1575"/>
      <c r="S452" s="1575"/>
      <c r="T452" s="1575"/>
      <c r="U452" s="1575"/>
    </row>
    <row r="453" spans="1:23" ht="10.9" customHeight="1">
      <c r="A453" s="1574" t="s">
        <v>1322</v>
      </c>
      <c r="B453" s="1574"/>
      <c r="C453" s="1574" t="s">
        <v>5783</v>
      </c>
      <c r="D453" s="1574"/>
      <c r="E453" s="1574"/>
      <c r="F453" s="1574" t="s">
        <v>5784</v>
      </c>
      <c r="G453" s="1574"/>
      <c r="H453" s="1574"/>
      <c r="I453" s="1574"/>
      <c r="J453" s="1412">
        <v>28843.58</v>
      </c>
      <c r="K453" s="1412">
        <v>0</v>
      </c>
      <c r="L453" s="1412">
        <v>0</v>
      </c>
      <c r="M453" s="1575">
        <v>0</v>
      </c>
      <c r="N453" s="1575"/>
      <c r="O453" s="1575">
        <v>28843.58</v>
      </c>
      <c r="P453" s="1575"/>
      <c r="Q453" s="1575">
        <v>0</v>
      </c>
      <c r="R453" s="1575"/>
      <c r="S453" s="1575"/>
      <c r="T453" s="1575"/>
      <c r="U453" s="1575"/>
    </row>
    <row r="454" spans="1:23" ht="10.9" customHeight="1">
      <c r="A454" s="1574" t="s">
        <v>1322</v>
      </c>
      <c r="B454" s="1574"/>
      <c r="C454" s="1574" t="s">
        <v>5955</v>
      </c>
      <c r="D454" s="1574"/>
      <c r="E454" s="1574"/>
      <c r="F454" s="1574" t="s">
        <v>5956</v>
      </c>
      <c r="G454" s="1574"/>
      <c r="H454" s="1574"/>
      <c r="I454" s="1574"/>
      <c r="J454" s="1412">
        <v>0</v>
      </c>
      <c r="K454" s="1412">
        <v>0</v>
      </c>
      <c r="L454" s="1412">
        <v>0</v>
      </c>
      <c r="M454" s="1575">
        <v>0</v>
      </c>
      <c r="N454" s="1575"/>
      <c r="O454" s="1575">
        <v>0</v>
      </c>
      <c r="P454" s="1575"/>
      <c r="Q454" s="1575">
        <v>0</v>
      </c>
      <c r="R454" s="1575"/>
      <c r="S454" s="1575"/>
      <c r="T454" s="1575"/>
      <c r="U454" s="1575"/>
    </row>
    <row r="455" spans="1:23" ht="10.9" customHeight="1">
      <c r="A455" s="1574" t="s">
        <v>1322</v>
      </c>
      <c r="B455" s="1574"/>
      <c r="C455" s="1574" t="s">
        <v>5905</v>
      </c>
      <c r="D455" s="1574"/>
      <c r="E455" s="1574"/>
      <c r="F455" s="1574" t="s">
        <v>5906</v>
      </c>
      <c r="G455" s="1574"/>
      <c r="H455" s="1574"/>
      <c r="I455" s="1574"/>
      <c r="J455" s="1412">
        <v>0</v>
      </c>
      <c r="K455" s="1412">
        <v>0</v>
      </c>
      <c r="L455" s="1412">
        <v>555.73</v>
      </c>
      <c r="M455" s="1575">
        <v>555.73</v>
      </c>
      <c r="N455" s="1575"/>
      <c r="O455" s="1575">
        <v>0</v>
      </c>
      <c r="P455" s="1575"/>
      <c r="Q455" s="1575">
        <v>0</v>
      </c>
      <c r="R455" s="1575"/>
      <c r="S455" s="1575"/>
      <c r="T455" s="1575"/>
      <c r="U455" s="1575"/>
    </row>
    <row r="456" spans="1:23" ht="10.9" customHeight="1">
      <c r="A456" s="1574" t="s">
        <v>1322</v>
      </c>
      <c r="B456" s="1574"/>
      <c r="C456" s="1574" t="s">
        <v>5907</v>
      </c>
      <c r="D456" s="1574"/>
      <c r="E456" s="1574"/>
      <c r="F456" s="1574" t="s">
        <v>5908</v>
      </c>
      <c r="G456" s="1574"/>
      <c r="H456" s="1574"/>
      <c r="I456" s="1574"/>
      <c r="J456" s="1412">
        <v>0</v>
      </c>
      <c r="K456" s="1412">
        <v>0</v>
      </c>
      <c r="L456" s="1412">
        <v>0</v>
      </c>
      <c r="M456" s="1575">
        <v>0</v>
      </c>
      <c r="N456" s="1575"/>
      <c r="O456" s="1575">
        <v>0</v>
      </c>
      <c r="P456" s="1575"/>
      <c r="Q456" s="1575">
        <v>0</v>
      </c>
      <c r="R456" s="1575"/>
      <c r="S456" s="1575"/>
      <c r="T456" s="1575"/>
      <c r="U456" s="1575"/>
    </row>
    <row r="457" spans="1:23" ht="14.25" customHeight="1">
      <c r="S457" s="1573" t="s">
        <v>2205</v>
      </c>
      <c r="T457" s="1573"/>
      <c r="U457" s="1573"/>
      <c r="V457" s="1573"/>
      <c r="W457" s="1573"/>
    </row>
    <row r="458" spans="1:23" ht="7.15" customHeight="1">
      <c r="C458" s="1586" t="s">
        <v>2987</v>
      </c>
      <c r="D458" s="1586"/>
      <c r="E458" s="1586"/>
      <c r="F458" s="1586"/>
      <c r="G458" s="1586"/>
      <c r="H458" s="1586"/>
      <c r="I458" s="1586"/>
      <c r="J458" s="1586"/>
      <c r="K458" s="1586"/>
      <c r="L458" s="1586"/>
      <c r="M458" s="1586"/>
      <c r="N458" s="1586"/>
      <c r="O458" s="1586"/>
      <c r="P458" s="1586"/>
      <c r="Q458" s="1586"/>
      <c r="R458" s="1586"/>
      <c r="S458" s="1586"/>
      <c r="T458" s="1586"/>
    </row>
    <row r="459" spans="1:23" ht="9.6" customHeight="1">
      <c r="A459" s="1587"/>
      <c r="B459" s="1587"/>
      <c r="C459" s="1587"/>
      <c r="D459" s="1587"/>
      <c r="E459" s="1587"/>
      <c r="F459" s="1587"/>
      <c r="G459" s="1586"/>
      <c r="H459" s="1586"/>
      <c r="I459" s="1586"/>
      <c r="J459" s="1586"/>
      <c r="K459" s="1586"/>
      <c r="L459" s="1586"/>
      <c r="M459" s="1586"/>
      <c r="N459" s="1586"/>
      <c r="O459" s="1586"/>
      <c r="P459" s="1586"/>
      <c r="Q459" s="1586"/>
      <c r="R459" s="1586"/>
      <c r="S459" s="1586"/>
      <c r="T459" s="1586"/>
    </row>
    <row r="460" spans="1:23" ht="13.35" customHeight="1">
      <c r="A460" s="1587"/>
      <c r="B460" s="1587"/>
      <c r="C460" s="1587"/>
      <c r="D460" s="1587"/>
      <c r="E460" s="1587"/>
      <c r="F460" s="1587"/>
      <c r="G460" s="1588" t="s">
        <v>79</v>
      </c>
      <c r="H460" s="1588"/>
      <c r="I460" s="1588"/>
      <c r="J460" s="1588"/>
      <c r="K460" s="1588"/>
      <c r="L460" s="1588"/>
      <c r="M460" s="1588"/>
      <c r="N460" s="1588"/>
      <c r="O460" s="1588"/>
      <c r="P460" s="1588"/>
      <c r="Q460" s="1588"/>
      <c r="R460" s="1588"/>
    </row>
    <row r="461" spans="1:23" ht="5.25" customHeight="1">
      <c r="A461" s="1587"/>
      <c r="B461" s="1587"/>
      <c r="C461" s="1587"/>
      <c r="D461" s="1587"/>
      <c r="E461" s="1587"/>
      <c r="F461" s="1587"/>
      <c r="G461" s="1581" t="s">
        <v>7015</v>
      </c>
      <c r="H461" s="1581"/>
      <c r="I461" s="1581"/>
      <c r="J461" s="1581"/>
      <c r="K461" s="1581"/>
      <c r="L461" s="1581"/>
      <c r="M461" s="1581"/>
      <c r="N461" s="1581"/>
      <c r="O461" s="1581"/>
      <c r="P461" s="1581"/>
      <c r="Q461" s="1581"/>
    </row>
    <row r="462" spans="1:23" ht="8.1" customHeight="1">
      <c r="B462" s="1580" t="s">
        <v>1916</v>
      </c>
      <c r="C462" s="1580"/>
      <c r="D462" s="1580"/>
      <c r="E462" s="1580"/>
      <c r="F462" s="1580"/>
      <c r="G462" s="1580"/>
      <c r="H462" s="1581"/>
      <c r="I462" s="1581"/>
      <c r="J462" s="1581"/>
      <c r="K462" s="1581"/>
      <c r="L462" s="1581"/>
      <c r="M462" s="1581"/>
      <c r="N462" s="1582" t="s">
        <v>5619</v>
      </c>
      <c r="O462" s="1582"/>
      <c r="P462" s="1582"/>
      <c r="Q462" s="1582"/>
      <c r="R462" s="1582"/>
      <c r="S462" s="1582"/>
      <c r="T462" s="1583" t="s">
        <v>7016</v>
      </c>
      <c r="U462" s="1583"/>
      <c r="V462" s="1583"/>
      <c r="W462" s="1583"/>
    </row>
    <row r="463" spans="1:23" ht="6" customHeight="1">
      <c r="B463" s="1580"/>
      <c r="C463" s="1580"/>
      <c r="D463" s="1580"/>
      <c r="E463" s="1580"/>
      <c r="F463" s="1580"/>
      <c r="G463" s="1580"/>
      <c r="H463" s="1584" t="s">
        <v>7017</v>
      </c>
      <c r="I463" s="1584"/>
      <c r="J463" s="1584"/>
      <c r="K463" s="1584"/>
      <c r="L463" s="1584"/>
      <c r="M463" s="1584"/>
      <c r="N463" s="1582"/>
      <c r="O463" s="1582"/>
      <c r="P463" s="1582"/>
      <c r="Q463" s="1582"/>
      <c r="R463" s="1582"/>
      <c r="S463" s="1582"/>
      <c r="T463" s="1583"/>
      <c r="U463" s="1583"/>
      <c r="V463" s="1583"/>
      <c r="W463" s="1583"/>
    </row>
    <row r="464" spans="1:23" ht="7.35" customHeight="1">
      <c r="B464" s="1580" t="s">
        <v>1994</v>
      </c>
      <c r="C464" s="1580"/>
      <c r="D464" s="1580"/>
      <c r="E464" s="1585"/>
      <c r="F464" s="1585"/>
      <c r="G464" s="1585"/>
      <c r="H464" s="1585"/>
      <c r="I464" s="1585"/>
      <c r="J464" s="1585"/>
      <c r="K464" s="1585"/>
      <c r="L464" s="1585"/>
      <c r="M464" s="1585"/>
      <c r="N464" s="1585"/>
      <c r="O464" s="1585"/>
      <c r="P464" s="1585"/>
      <c r="Q464" s="1585"/>
      <c r="R464" s="1582"/>
      <c r="S464" s="1582"/>
      <c r="T464" s="1582" t="s">
        <v>7018</v>
      </c>
      <c r="U464" s="1582"/>
    </row>
    <row r="465" spans="1:21" ht="6.75" customHeight="1">
      <c r="E465" s="1585"/>
      <c r="F465" s="1585"/>
      <c r="G465" s="1585"/>
      <c r="H465" s="1585"/>
      <c r="I465" s="1585"/>
      <c r="J465" s="1585"/>
      <c r="K465" s="1585"/>
      <c r="L465" s="1585"/>
      <c r="M465" s="1585"/>
      <c r="N465" s="1585"/>
      <c r="O465" s="1585"/>
      <c r="P465" s="1585"/>
      <c r="Q465" s="1585"/>
      <c r="R465" s="1582"/>
      <c r="S465" s="1582"/>
      <c r="T465" s="1582"/>
      <c r="U465" s="1582"/>
    </row>
    <row r="466" spans="1:21" ht="10.9" customHeight="1">
      <c r="A466" s="1576"/>
      <c r="B466" s="1576"/>
      <c r="C466" s="1576"/>
      <c r="D466" s="1576"/>
      <c r="E466" s="1576"/>
      <c r="F466" s="1576"/>
      <c r="G466" s="1576"/>
      <c r="H466" s="1576"/>
      <c r="I466" s="1576"/>
      <c r="J466" s="1577" t="s">
        <v>1314</v>
      </c>
      <c r="K466" s="1577"/>
      <c r="L466" s="1577" t="s">
        <v>1315</v>
      </c>
      <c r="M466" s="1577"/>
      <c r="N466" s="1577"/>
      <c r="O466" s="1577" t="s">
        <v>1316</v>
      </c>
      <c r="P466" s="1577"/>
      <c r="Q466" s="1577"/>
      <c r="R466" s="1577"/>
      <c r="S466" s="1577"/>
      <c r="T466" s="1577"/>
      <c r="U466" s="1577"/>
    </row>
    <row r="467" spans="1:21" ht="14.1" customHeight="1">
      <c r="A467" s="1578" t="s">
        <v>1317</v>
      </c>
      <c r="B467" s="1578"/>
      <c r="C467" s="1578" t="s">
        <v>1318</v>
      </c>
      <c r="D467" s="1578"/>
      <c r="E467" s="1578"/>
      <c r="F467" s="1578" t="s">
        <v>1319</v>
      </c>
      <c r="G467" s="1578"/>
      <c r="H467" s="1578"/>
      <c r="I467" s="1578"/>
      <c r="J467" s="1413" t="s">
        <v>1320</v>
      </c>
      <c r="K467" s="1413" t="s">
        <v>1321</v>
      </c>
      <c r="L467" s="1413" t="s">
        <v>1320</v>
      </c>
      <c r="M467" s="1579" t="s">
        <v>1321</v>
      </c>
      <c r="N467" s="1579"/>
      <c r="O467" s="1579" t="s">
        <v>1320</v>
      </c>
      <c r="P467" s="1579"/>
      <c r="Q467" s="1579" t="s">
        <v>1321</v>
      </c>
      <c r="R467" s="1579"/>
      <c r="S467" s="1579"/>
      <c r="T467" s="1579"/>
      <c r="U467" s="1579"/>
    </row>
    <row r="468" spans="1:21" ht="14.1" customHeight="1">
      <c r="A468" s="1574" t="s">
        <v>1322</v>
      </c>
      <c r="B468" s="1574"/>
      <c r="C468" s="1574" t="s">
        <v>6187</v>
      </c>
      <c r="D468" s="1574"/>
      <c r="E468" s="1574"/>
      <c r="F468" s="1574" t="s">
        <v>6188</v>
      </c>
      <c r="G468" s="1574"/>
      <c r="H468" s="1574"/>
      <c r="I468" s="1574"/>
      <c r="J468" s="1412">
        <v>0</v>
      </c>
      <c r="K468" s="1412">
        <v>0</v>
      </c>
      <c r="L468" s="1412">
        <v>5341.12</v>
      </c>
      <c r="M468" s="1575">
        <v>5341.12</v>
      </c>
      <c r="N468" s="1575"/>
      <c r="O468" s="1575">
        <v>0</v>
      </c>
      <c r="P468" s="1575"/>
      <c r="Q468" s="1575">
        <v>0</v>
      </c>
      <c r="R468" s="1575"/>
      <c r="S468" s="1575"/>
      <c r="T468" s="1575"/>
      <c r="U468" s="1575"/>
    </row>
    <row r="469" spans="1:21" ht="10.9" customHeight="1">
      <c r="A469" s="1574" t="s">
        <v>1322</v>
      </c>
      <c r="B469" s="1574"/>
      <c r="C469" s="1574" t="s">
        <v>5957</v>
      </c>
      <c r="D469" s="1574"/>
      <c r="E469" s="1574"/>
      <c r="F469" s="1574" t="s">
        <v>5958</v>
      </c>
      <c r="G469" s="1574"/>
      <c r="H469" s="1574"/>
      <c r="I469" s="1574"/>
      <c r="J469" s="1412">
        <v>0</v>
      </c>
      <c r="K469" s="1412">
        <v>0</v>
      </c>
      <c r="L469" s="1412">
        <v>0</v>
      </c>
      <c r="M469" s="1575">
        <v>0</v>
      </c>
      <c r="N469" s="1575"/>
      <c r="O469" s="1575">
        <v>0</v>
      </c>
      <c r="P469" s="1575"/>
      <c r="Q469" s="1575">
        <v>0</v>
      </c>
      <c r="R469" s="1575"/>
      <c r="S469" s="1575"/>
      <c r="T469" s="1575"/>
      <c r="U469" s="1575"/>
    </row>
    <row r="470" spans="1:21" ht="10.9" customHeight="1">
      <c r="A470" s="1574" t="s">
        <v>1322</v>
      </c>
      <c r="B470" s="1574"/>
      <c r="C470" s="1574" t="s">
        <v>6256</v>
      </c>
      <c r="D470" s="1574"/>
      <c r="E470" s="1574"/>
      <c r="F470" s="1574" t="s">
        <v>6257</v>
      </c>
      <c r="G470" s="1574"/>
      <c r="H470" s="1574"/>
      <c r="I470" s="1574"/>
      <c r="J470" s="1412">
        <v>0</v>
      </c>
      <c r="K470" s="1412">
        <v>0</v>
      </c>
      <c r="L470" s="1412">
        <v>9247.4599999999991</v>
      </c>
      <c r="M470" s="1575">
        <v>0</v>
      </c>
      <c r="N470" s="1575"/>
      <c r="O470" s="1575">
        <v>9247.4599999999991</v>
      </c>
      <c r="P470" s="1575"/>
      <c r="Q470" s="1575">
        <v>0</v>
      </c>
      <c r="R470" s="1575"/>
      <c r="S470" s="1575"/>
      <c r="T470" s="1575"/>
      <c r="U470" s="1575"/>
    </row>
    <row r="471" spans="1:21" ht="10.9" customHeight="1">
      <c r="A471" s="1574" t="s">
        <v>1322</v>
      </c>
      <c r="B471" s="1574"/>
      <c r="C471" s="1574" t="s">
        <v>6189</v>
      </c>
      <c r="D471" s="1574"/>
      <c r="E471" s="1574"/>
      <c r="F471" s="1574" t="s">
        <v>6190</v>
      </c>
      <c r="G471" s="1574"/>
      <c r="H471" s="1574"/>
      <c r="I471" s="1574"/>
      <c r="J471" s="1412">
        <v>0</v>
      </c>
      <c r="K471" s="1412">
        <v>0</v>
      </c>
      <c r="L471" s="1412">
        <v>0</v>
      </c>
      <c r="M471" s="1575">
        <v>0</v>
      </c>
      <c r="N471" s="1575"/>
      <c r="O471" s="1575">
        <v>0</v>
      </c>
      <c r="P471" s="1575"/>
      <c r="Q471" s="1575">
        <v>0</v>
      </c>
      <c r="R471" s="1575"/>
      <c r="S471" s="1575"/>
      <c r="T471" s="1575"/>
      <c r="U471" s="1575"/>
    </row>
    <row r="472" spans="1:21" ht="10.9" customHeight="1">
      <c r="A472" s="1574" t="s">
        <v>1322</v>
      </c>
      <c r="B472" s="1574"/>
      <c r="C472" s="1574" t="s">
        <v>6191</v>
      </c>
      <c r="D472" s="1574"/>
      <c r="E472" s="1574"/>
      <c r="F472" s="1574" t="s">
        <v>6192</v>
      </c>
      <c r="G472" s="1574"/>
      <c r="H472" s="1574"/>
      <c r="I472" s="1574"/>
      <c r="J472" s="1412">
        <v>0</v>
      </c>
      <c r="K472" s="1412">
        <v>0</v>
      </c>
      <c r="L472" s="1412">
        <v>6148</v>
      </c>
      <c r="M472" s="1575">
        <v>6148</v>
      </c>
      <c r="N472" s="1575"/>
      <c r="O472" s="1575">
        <v>0</v>
      </c>
      <c r="P472" s="1575"/>
      <c r="Q472" s="1575">
        <v>0</v>
      </c>
      <c r="R472" s="1575"/>
      <c r="S472" s="1575"/>
      <c r="T472" s="1575"/>
      <c r="U472" s="1575"/>
    </row>
    <row r="473" spans="1:21" ht="10.9" customHeight="1">
      <c r="A473" s="1574" t="s">
        <v>1322</v>
      </c>
      <c r="B473" s="1574"/>
      <c r="C473" s="1574" t="s">
        <v>6258</v>
      </c>
      <c r="D473" s="1574"/>
      <c r="E473" s="1574"/>
      <c r="F473" s="1574" t="s">
        <v>6259</v>
      </c>
      <c r="G473" s="1574"/>
      <c r="H473" s="1574"/>
      <c r="I473" s="1574"/>
      <c r="J473" s="1412">
        <v>0</v>
      </c>
      <c r="K473" s="1412">
        <v>0</v>
      </c>
      <c r="L473" s="1412">
        <v>1225.5899999999999</v>
      </c>
      <c r="M473" s="1575">
        <v>1225.5899999999999</v>
      </c>
      <c r="N473" s="1575"/>
      <c r="O473" s="1575">
        <v>0</v>
      </c>
      <c r="P473" s="1575"/>
      <c r="Q473" s="1575">
        <v>0</v>
      </c>
      <c r="R473" s="1575"/>
      <c r="S473" s="1575"/>
      <c r="T473" s="1575"/>
      <c r="U473" s="1575"/>
    </row>
    <row r="474" spans="1:21" ht="10.9" customHeight="1">
      <c r="A474" s="1574" t="s">
        <v>1322</v>
      </c>
      <c r="B474" s="1574"/>
      <c r="C474" s="1574" t="s">
        <v>6260</v>
      </c>
      <c r="D474" s="1574"/>
      <c r="E474" s="1574"/>
      <c r="F474" s="1574" t="s">
        <v>6261</v>
      </c>
      <c r="G474" s="1574"/>
      <c r="H474" s="1574"/>
      <c r="I474" s="1574"/>
      <c r="J474" s="1412">
        <v>599.79</v>
      </c>
      <c r="K474" s="1412">
        <v>0</v>
      </c>
      <c r="L474" s="1412">
        <v>633.09</v>
      </c>
      <c r="M474" s="1575">
        <v>599.79</v>
      </c>
      <c r="N474" s="1575"/>
      <c r="O474" s="1575">
        <v>633.09</v>
      </c>
      <c r="P474" s="1575"/>
      <c r="Q474" s="1575">
        <v>0</v>
      </c>
      <c r="R474" s="1575"/>
      <c r="S474" s="1575"/>
      <c r="T474" s="1575"/>
      <c r="U474" s="1575"/>
    </row>
    <row r="475" spans="1:21" ht="10.9" customHeight="1">
      <c r="A475" s="1574" t="s">
        <v>1322</v>
      </c>
      <c r="B475" s="1574"/>
      <c r="C475" s="1574" t="s">
        <v>6262</v>
      </c>
      <c r="D475" s="1574"/>
      <c r="E475" s="1574"/>
      <c r="F475" s="1574" t="s">
        <v>6263</v>
      </c>
      <c r="G475" s="1574"/>
      <c r="H475" s="1574"/>
      <c r="I475" s="1574"/>
      <c r="J475" s="1412">
        <v>0</v>
      </c>
      <c r="K475" s="1412">
        <v>0</v>
      </c>
      <c r="L475" s="1412">
        <v>12488.46</v>
      </c>
      <c r="M475" s="1575">
        <v>12488.46</v>
      </c>
      <c r="N475" s="1575"/>
      <c r="O475" s="1575">
        <v>0</v>
      </c>
      <c r="P475" s="1575"/>
      <c r="Q475" s="1575">
        <v>0</v>
      </c>
      <c r="R475" s="1575"/>
      <c r="S475" s="1575"/>
      <c r="T475" s="1575"/>
      <c r="U475" s="1575"/>
    </row>
    <row r="476" spans="1:21" ht="10.9" customHeight="1">
      <c r="A476" s="1574" t="s">
        <v>1322</v>
      </c>
      <c r="B476" s="1574"/>
      <c r="C476" s="1574" t="s">
        <v>6315</v>
      </c>
      <c r="D476" s="1574"/>
      <c r="E476" s="1574"/>
      <c r="F476" s="1574" t="s">
        <v>6316</v>
      </c>
      <c r="G476" s="1574"/>
      <c r="H476" s="1574"/>
      <c r="I476" s="1574"/>
      <c r="J476" s="1412">
        <v>82.46</v>
      </c>
      <c r="K476" s="1412">
        <v>0</v>
      </c>
      <c r="L476" s="1412">
        <v>281.44</v>
      </c>
      <c r="M476" s="1575">
        <v>281.44</v>
      </c>
      <c r="N476" s="1575"/>
      <c r="O476" s="1575">
        <v>82.46</v>
      </c>
      <c r="P476" s="1575"/>
      <c r="Q476" s="1575">
        <v>0</v>
      </c>
      <c r="R476" s="1575"/>
      <c r="S476" s="1575"/>
      <c r="T476" s="1575"/>
      <c r="U476" s="1575"/>
    </row>
    <row r="477" spans="1:21" ht="10.9" customHeight="1">
      <c r="A477" s="1574" t="s">
        <v>1322</v>
      </c>
      <c r="B477" s="1574"/>
      <c r="C477" s="1574" t="s">
        <v>6317</v>
      </c>
      <c r="D477" s="1574"/>
      <c r="E477" s="1574"/>
      <c r="F477" s="1574" t="s">
        <v>6318</v>
      </c>
      <c r="G477" s="1574"/>
      <c r="H477" s="1574"/>
      <c r="I477" s="1574"/>
      <c r="J477" s="1412">
        <v>0</v>
      </c>
      <c r="K477" s="1412">
        <v>0</v>
      </c>
      <c r="L477" s="1412">
        <v>612.41</v>
      </c>
      <c r="M477" s="1575">
        <v>612.41</v>
      </c>
      <c r="N477" s="1575"/>
      <c r="O477" s="1575">
        <v>0</v>
      </c>
      <c r="P477" s="1575"/>
      <c r="Q477" s="1575">
        <v>0</v>
      </c>
      <c r="R477" s="1575"/>
      <c r="S477" s="1575"/>
      <c r="T477" s="1575"/>
      <c r="U477" s="1575"/>
    </row>
    <row r="478" spans="1:21" ht="19.149999999999999" customHeight="1">
      <c r="A478" s="1574" t="s">
        <v>1322</v>
      </c>
      <c r="B478" s="1574"/>
      <c r="C478" s="1574" t="s">
        <v>6448</v>
      </c>
      <c r="D478" s="1574"/>
      <c r="E478" s="1574"/>
      <c r="F478" s="1574" t="s">
        <v>6449</v>
      </c>
      <c r="G478" s="1574"/>
      <c r="H478" s="1574"/>
      <c r="I478" s="1574"/>
      <c r="J478" s="1412">
        <v>0</v>
      </c>
      <c r="K478" s="1412">
        <v>0</v>
      </c>
      <c r="L478" s="1412">
        <v>148.26</v>
      </c>
      <c r="M478" s="1575">
        <v>0</v>
      </c>
      <c r="N478" s="1575"/>
      <c r="O478" s="1575">
        <v>148.26</v>
      </c>
      <c r="P478" s="1575"/>
      <c r="Q478" s="1575">
        <v>0</v>
      </c>
      <c r="R478" s="1575"/>
      <c r="S478" s="1575"/>
      <c r="T478" s="1575"/>
      <c r="U478" s="1575"/>
    </row>
    <row r="479" spans="1:21" ht="10.9" customHeight="1">
      <c r="A479" s="1574" t="s">
        <v>1322</v>
      </c>
      <c r="B479" s="1574"/>
      <c r="C479" s="1574" t="s">
        <v>6450</v>
      </c>
      <c r="D479" s="1574"/>
      <c r="E479" s="1574"/>
      <c r="F479" s="1574" t="s">
        <v>6451</v>
      </c>
      <c r="G479" s="1574"/>
      <c r="H479" s="1574"/>
      <c r="I479" s="1574"/>
      <c r="J479" s="1412">
        <v>0</v>
      </c>
      <c r="K479" s="1412">
        <v>0</v>
      </c>
      <c r="L479" s="1412">
        <v>1214.03</v>
      </c>
      <c r="M479" s="1575">
        <v>1214.03</v>
      </c>
      <c r="N479" s="1575"/>
      <c r="O479" s="1575">
        <v>0</v>
      </c>
      <c r="P479" s="1575"/>
      <c r="Q479" s="1575">
        <v>0</v>
      </c>
      <c r="R479" s="1575"/>
      <c r="S479" s="1575"/>
      <c r="T479" s="1575"/>
      <c r="U479" s="1575"/>
    </row>
    <row r="480" spans="1:21" ht="10.9" customHeight="1">
      <c r="A480" s="1574" t="s">
        <v>1322</v>
      </c>
      <c r="B480" s="1574"/>
      <c r="C480" s="1574" t="s">
        <v>6452</v>
      </c>
      <c r="D480" s="1574"/>
      <c r="E480" s="1574"/>
      <c r="F480" s="1574" t="s">
        <v>6453</v>
      </c>
      <c r="G480" s="1574"/>
      <c r="H480" s="1574"/>
      <c r="I480" s="1574"/>
      <c r="J480" s="1412">
        <v>0</v>
      </c>
      <c r="K480" s="1412">
        <v>0</v>
      </c>
      <c r="L480" s="1412">
        <v>12908.25</v>
      </c>
      <c r="M480" s="1575">
        <v>12908.25</v>
      </c>
      <c r="N480" s="1575"/>
      <c r="O480" s="1575">
        <v>0</v>
      </c>
      <c r="P480" s="1575"/>
      <c r="Q480" s="1575">
        <v>0</v>
      </c>
      <c r="R480" s="1575"/>
      <c r="S480" s="1575"/>
      <c r="T480" s="1575"/>
      <c r="U480" s="1575"/>
    </row>
    <row r="481" spans="1:21" ht="10.9" customHeight="1">
      <c r="A481" s="1574" t="s">
        <v>1322</v>
      </c>
      <c r="B481" s="1574"/>
      <c r="C481" s="1574" t="s">
        <v>6533</v>
      </c>
      <c r="D481" s="1574"/>
      <c r="E481" s="1574"/>
      <c r="F481" s="1574" t="s">
        <v>6534</v>
      </c>
      <c r="G481" s="1574"/>
      <c r="H481" s="1574"/>
      <c r="I481" s="1574"/>
      <c r="J481" s="1412">
        <v>0</v>
      </c>
      <c r="K481" s="1412">
        <v>0</v>
      </c>
      <c r="L481" s="1412">
        <v>645.63</v>
      </c>
      <c r="M481" s="1575">
        <v>645.63</v>
      </c>
      <c r="N481" s="1575"/>
      <c r="O481" s="1575">
        <v>0</v>
      </c>
      <c r="P481" s="1575"/>
      <c r="Q481" s="1575">
        <v>0</v>
      </c>
      <c r="R481" s="1575"/>
      <c r="S481" s="1575"/>
      <c r="T481" s="1575"/>
      <c r="U481" s="1575"/>
    </row>
    <row r="482" spans="1:21" ht="10.9" customHeight="1">
      <c r="A482" s="1574" t="s">
        <v>1322</v>
      </c>
      <c r="B482" s="1574"/>
      <c r="C482" s="1574" t="s">
        <v>6454</v>
      </c>
      <c r="D482" s="1574"/>
      <c r="E482" s="1574"/>
      <c r="F482" s="1574" t="s">
        <v>6455</v>
      </c>
      <c r="G482" s="1574"/>
      <c r="H482" s="1574"/>
      <c r="I482" s="1574"/>
      <c r="J482" s="1412">
        <v>677.02</v>
      </c>
      <c r="K482" s="1412">
        <v>0</v>
      </c>
      <c r="L482" s="1412">
        <v>558.11</v>
      </c>
      <c r="M482" s="1575">
        <v>0</v>
      </c>
      <c r="N482" s="1575"/>
      <c r="O482" s="1575">
        <v>1235.1300000000001</v>
      </c>
      <c r="P482" s="1575"/>
      <c r="Q482" s="1575">
        <v>0</v>
      </c>
      <c r="R482" s="1575"/>
      <c r="S482" s="1575"/>
      <c r="T482" s="1575"/>
      <c r="U482" s="1575"/>
    </row>
    <row r="483" spans="1:21" ht="10.9" customHeight="1">
      <c r="A483" s="1574" t="s">
        <v>1322</v>
      </c>
      <c r="B483" s="1574"/>
      <c r="C483" s="1574" t="s">
        <v>6456</v>
      </c>
      <c r="D483" s="1574"/>
      <c r="E483" s="1574"/>
      <c r="F483" s="1574" t="s">
        <v>6457</v>
      </c>
      <c r="G483" s="1574"/>
      <c r="H483" s="1574"/>
      <c r="I483" s="1574"/>
      <c r="J483" s="1412">
        <v>0</v>
      </c>
      <c r="K483" s="1412">
        <v>0</v>
      </c>
      <c r="L483" s="1412">
        <v>8426.0400000000009</v>
      </c>
      <c r="M483" s="1575">
        <v>6880.15</v>
      </c>
      <c r="N483" s="1575"/>
      <c r="O483" s="1575">
        <v>1545.89</v>
      </c>
      <c r="P483" s="1575"/>
      <c r="Q483" s="1575">
        <v>0</v>
      </c>
      <c r="R483" s="1575"/>
      <c r="S483" s="1575"/>
      <c r="T483" s="1575"/>
      <c r="U483" s="1575"/>
    </row>
    <row r="484" spans="1:21" ht="10.9" customHeight="1">
      <c r="A484" s="1574" t="s">
        <v>1322</v>
      </c>
      <c r="B484" s="1574"/>
      <c r="C484" s="1574" t="s">
        <v>6535</v>
      </c>
      <c r="D484" s="1574"/>
      <c r="E484" s="1574"/>
      <c r="F484" s="1574" t="s">
        <v>6536</v>
      </c>
      <c r="G484" s="1574"/>
      <c r="H484" s="1574"/>
      <c r="I484" s="1574"/>
      <c r="J484" s="1412">
        <v>2921.4</v>
      </c>
      <c r="K484" s="1412">
        <v>0</v>
      </c>
      <c r="L484" s="1412">
        <v>2921.4</v>
      </c>
      <c r="M484" s="1575">
        <v>0</v>
      </c>
      <c r="N484" s="1575"/>
      <c r="O484" s="1575">
        <v>5842.8</v>
      </c>
      <c r="P484" s="1575"/>
      <c r="Q484" s="1575">
        <v>0</v>
      </c>
      <c r="R484" s="1575"/>
      <c r="S484" s="1575"/>
      <c r="T484" s="1575"/>
      <c r="U484" s="1575"/>
    </row>
    <row r="485" spans="1:21" ht="10.9" customHeight="1">
      <c r="A485" s="1574" t="s">
        <v>1322</v>
      </c>
      <c r="B485" s="1574"/>
      <c r="C485" s="1574" t="s">
        <v>6537</v>
      </c>
      <c r="D485" s="1574"/>
      <c r="E485" s="1574"/>
      <c r="F485" s="1574" t="s">
        <v>6538</v>
      </c>
      <c r="G485" s="1574"/>
      <c r="H485" s="1574"/>
      <c r="I485" s="1574"/>
      <c r="J485" s="1412">
        <v>1433.73</v>
      </c>
      <c r="K485" s="1412">
        <v>0</v>
      </c>
      <c r="L485" s="1412">
        <v>161.72999999999999</v>
      </c>
      <c r="M485" s="1575">
        <v>0</v>
      </c>
      <c r="N485" s="1575"/>
      <c r="O485" s="1575">
        <v>1595.46</v>
      </c>
      <c r="P485" s="1575"/>
      <c r="Q485" s="1575">
        <v>0</v>
      </c>
      <c r="R485" s="1575"/>
      <c r="S485" s="1575"/>
      <c r="T485" s="1575"/>
      <c r="U485" s="1575"/>
    </row>
    <row r="486" spans="1:21" ht="10.9" customHeight="1">
      <c r="A486" s="1574" t="s">
        <v>1322</v>
      </c>
      <c r="B486" s="1574"/>
      <c r="C486" s="1574" t="s">
        <v>6664</v>
      </c>
      <c r="D486" s="1574"/>
      <c r="E486" s="1574"/>
      <c r="F486" s="1574" t="s">
        <v>6665</v>
      </c>
      <c r="G486" s="1574"/>
      <c r="H486" s="1574"/>
      <c r="I486" s="1574"/>
      <c r="J486" s="1412">
        <v>0</v>
      </c>
      <c r="K486" s="1412">
        <v>0</v>
      </c>
      <c r="L486" s="1412">
        <v>367.23</v>
      </c>
      <c r="M486" s="1575">
        <v>367.23</v>
      </c>
      <c r="N486" s="1575"/>
      <c r="O486" s="1575">
        <v>0</v>
      </c>
      <c r="P486" s="1575"/>
      <c r="Q486" s="1575">
        <v>0</v>
      </c>
      <c r="R486" s="1575"/>
      <c r="S486" s="1575"/>
      <c r="T486" s="1575"/>
      <c r="U486" s="1575"/>
    </row>
    <row r="487" spans="1:21" ht="10.9" customHeight="1">
      <c r="A487" s="1574" t="s">
        <v>1322</v>
      </c>
      <c r="B487" s="1574"/>
      <c r="C487" s="1574" t="s">
        <v>6815</v>
      </c>
      <c r="D487" s="1574"/>
      <c r="E487" s="1574"/>
      <c r="F487" s="1574" t="s">
        <v>6816</v>
      </c>
      <c r="G487" s="1574"/>
      <c r="H487" s="1574"/>
      <c r="I487" s="1574"/>
      <c r="J487" s="1412">
        <v>0</v>
      </c>
      <c r="K487" s="1412">
        <v>0</v>
      </c>
      <c r="L487" s="1412">
        <v>1395.63</v>
      </c>
      <c r="M487" s="1575">
        <v>1395.63</v>
      </c>
      <c r="N487" s="1575"/>
      <c r="O487" s="1575">
        <v>0</v>
      </c>
      <c r="P487" s="1575"/>
      <c r="Q487" s="1575">
        <v>0</v>
      </c>
      <c r="R487" s="1575"/>
      <c r="S487" s="1575"/>
      <c r="T487" s="1575"/>
      <c r="U487" s="1575"/>
    </row>
    <row r="488" spans="1:21" ht="10.9" customHeight="1">
      <c r="A488" s="1574" t="s">
        <v>1322</v>
      </c>
      <c r="B488" s="1574"/>
      <c r="C488" s="1574" t="s">
        <v>6817</v>
      </c>
      <c r="D488" s="1574"/>
      <c r="E488" s="1574"/>
      <c r="F488" s="1574" t="s">
        <v>6818</v>
      </c>
      <c r="G488" s="1574"/>
      <c r="H488" s="1574"/>
      <c r="I488" s="1574"/>
      <c r="J488" s="1412">
        <v>0</v>
      </c>
      <c r="K488" s="1412">
        <v>0</v>
      </c>
      <c r="L488" s="1412">
        <v>8407.39</v>
      </c>
      <c r="M488" s="1575">
        <v>8407.39</v>
      </c>
      <c r="N488" s="1575"/>
      <c r="O488" s="1575">
        <v>0</v>
      </c>
      <c r="P488" s="1575"/>
      <c r="Q488" s="1575">
        <v>0</v>
      </c>
      <c r="R488" s="1575"/>
      <c r="S488" s="1575"/>
      <c r="T488" s="1575"/>
      <c r="U488" s="1575"/>
    </row>
    <row r="489" spans="1:21" ht="10.9" customHeight="1">
      <c r="A489" s="1574" t="s">
        <v>1322</v>
      </c>
      <c r="B489" s="1574"/>
      <c r="C489" s="1574" t="s">
        <v>6819</v>
      </c>
      <c r="D489" s="1574"/>
      <c r="E489" s="1574"/>
      <c r="F489" s="1574" t="s">
        <v>6820</v>
      </c>
      <c r="G489" s="1574"/>
      <c r="H489" s="1574"/>
      <c r="I489" s="1574"/>
      <c r="J489" s="1412">
        <v>478.83</v>
      </c>
      <c r="K489" s="1412">
        <v>0</v>
      </c>
      <c r="L489" s="1412">
        <v>161.72999999999999</v>
      </c>
      <c r="M489" s="1575">
        <v>0</v>
      </c>
      <c r="N489" s="1575"/>
      <c r="O489" s="1575">
        <v>640.55999999999995</v>
      </c>
      <c r="P489" s="1575"/>
      <c r="Q489" s="1575">
        <v>0</v>
      </c>
      <c r="R489" s="1575"/>
      <c r="S489" s="1575"/>
      <c r="T489" s="1575"/>
      <c r="U489" s="1575"/>
    </row>
    <row r="490" spans="1:21" ht="10.9" customHeight="1">
      <c r="A490" s="1574" t="s">
        <v>1322</v>
      </c>
      <c r="B490" s="1574"/>
      <c r="C490" s="1574" t="s">
        <v>6821</v>
      </c>
      <c r="D490" s="1574"/>
      <c r="E490" s="1574"/>
      <c r="F490" s="1574" t="s">
        <v>6822</v>
      </c>
      <c r="G490" s="1574"/>
      <c r="H490" s="1574"/>
      <c r="I490" s="1574"/>
      <c r="J490" s="1412">
        <v>4959.41</v>
      </c>
      <c r="K490" s="1412">
        <v>0</v>
      </c>
      <c r="L490" s="1412">
        <v>24957.57</v>
      </c>
      <c r="M490" s="1575">
        <v>4959.41</v>
      </c>
      <c r="N490" s="1575"/>
      <c r="O490" s="1575">
        <v>24957.57</v>
      </c>
      <c r="P490" s="1575"/>
      <c r="Q490" s="1575">
        <v>0</v>
      </c>
      <c r="R490" s="1575"/>
      <c r="S490" s="1575"/>
      <c r="T490" s="1575"/>
      <c r="U490" s="1575"/>
    </row>
    <row r="491" spans="1:21" ht="10.9" customHeight="1">
      <c r="A491" s="1574" t="s">
        <v>1322</v>
      </c>
      <c r="B491" s="1574"/>
      <c r="C491" s="1574" t="s">
        <v>6823</v>
      </c>
      <c r="D491" s="1574"/>
      <c r="E491" s="1574"/>
      <c r="F491" s="1574" t="s">
        <v>6824</v>
      </c>
      <c r="G491" s="1574"/>
      <c r="H491" s="1574"/>
      <c r="I491" s="1574"/>
      <c r="J491" s="1412">
        <v>1667.54</v>
      </c>
      <c r="K491" s="1412">
        <v>0</v>
      </c>
      <c r="L491" s="1412">
        <v>1755.53</v>
      </c>
      <c r="M491" s="1575">
        <v>3423.07</v>
      </c>
      <c r="N491" s="1575"/>
      <c r="O491" s="1575">
        <v>0</v>
      </c>
      <c r="P491" s="1575"/>
      <c r="Q491" s="1575">
        <v>0</v>
      </c>
      <c r="R491" s="1575"/>
      <c r="S491" s="1575"/>
      <c r="T491" s="1575"/>
      <c r="U491" s="1575"/>
    </row>
    <row r="492" spans="1:21" ht="10.9" customHeight="1">
      <c r="A492" s="1574" t="s">
        <v>1322</v>
      </c>
      <c r="B492" s="1574"/>
      <c r="C492" s="1574" t="s">
        <v>6825</v>
      </c>
      <c r="D492" s="1574"/>
      <c r="E492" s="1574"/>
      <c r="F492" s="1574" t="s">
        <v>6826</v>
      </c>
      <c r="G492" s="1574"/>
      <c r="H492" s="1574"/>
      <c r="I492" s="1574"/>
      <c r="J492" s="1412">
        <v>0</v>
      </c>
      <c r="K492" s="1412">
        <v>0</v>
      </c>
      <c r="L492" s="1412">
        <v>0</v>
      </c>
      <c r="M492" s="1575">
        <v>0</v>
      </c>
      <c r="N492" s="1575"/>
      <c r="O492" s="1575">
        <v>0</v>
      </c>
      <c r="P492" s="1575"/>
      <c r="Q492" s="1575">
        <v>0</v>
      </c>
      <c r="R492" s="1575"/>
      <c r="S492" s="1575"/>
      <c r="T492" s="1575"/>
      <c r="U492" s="1575"/>
    </row>
    <row r="493" spans="1:21" ht="10.9" customHeight="1">
      <c r="A493" s="1574" t="s">
        <v>1322</v>
      </c>
      <c r="B493" s="1574"/>
      <c r="C493" s="1574" t="s">
        <v>7021</v>
      </c>
      <c r="D493" s="1574"/>
      <c r="E493" s="1574"/>
      <c r="F493" s="1574" t="s">
        <v>7022</v>
      </c>
      <c r="G493" s="1574"/>
      <c r="H493" s="1574"/>
      <c r="I493" s="1574"/>
      <c r="J493" s="1412">
        <v>0</v>
      </c>
      <c r="K493" s="1412">
        <v>0</v>
      </c>
      <c r="L493" s="1412">
        <v>1741.43</v>
      </c>
      <c r="M493" s="1575">
        <v>0</v>
      </c>
      <c r="N493" s="1575"/>
      <c r="O493" s="1575">
        <v>1741.43</v>
      </c>
      <c r="P493" s="1575"/>
      <c r="Q493" s="1575">
        <v>0</v>
      </c>
      <c r="R493" s="1575"/>
      <c r="S493" s="1575"/>
      <c r="T493" s="1575"/>
      <c r="U493" s="1575"/>
    </row>
    <row r="494" spans="1:21" ht="10.9" customHeight="1">
      <c r="A494" s="1574" t="s">
        <v>1322</v>
      </c>
      <c r="B494" s="1574"/>
      <c r="C494" s="1574" t="s">
        <v>1508</v>
      </c>
      <c r="D494" s="1574"/>
      <c r="E494" s="1574"/>
      <c r="F494" s="1574" t="s">
        <v>2141</v>
      </c>
      <c r="G494" s="1574"/>
      <c r="H494" s="1574"/>
      <c r="I494" s="1574"/>
      <c r="J494" s="1412">
        <v>0</v>
      </c>
      <c r="K494" s="1412">
        <v>0</v>
      </c>
      <c r="L494" s="1412">
        <v>88226.97</v>
      </c>
      <c r="M494" s="1575">
        <v>88226.97</v>
      </c>
      <c r="N494" s="1575"/>
      <c r="O494" s="1575">
        <v>0</v>
      </c>
      <c r="P494" s="1575"/>
      <c r="Q494" s="1575">
        <v>0</v>
      </c>
      <c r="R494" s="1575"/>
      <c r="S494" s="1575"/>
      <c r="T494" s="1575"/>
      <c r="U494" s="1575"/>
    </row>
    <row r="495" spans="1:21" ht="10.9" customHeight="1">
      <c r="A495" s="1574" t="s">
        <v>1322</v>
      </c>
      <c r="B495" s="1574"/>
      <c r="C495" s="1574" t="s">
        <v>1509</v>
      </c>
      <c r="D495" s="1574"/>
      <c r="E495" s="1574"/>
      <c r="F495" s="1574" t="s">
        <v>2142</v>
      </c>
      <c r="G495" s="1574"/>
      <c r="H495" s="1574"/>
      <c r="I495" s="1574"/>
      <c r="J495" s="1412">
        <v>1471.68</v>
      </c>
      <c r="K495" s="1412">
        <v>0</v>
      </c>
      <c r="L495" s="1412">
        <v>1392.41</v>
      </c>
      <c r="M495" s="1575">
        <v>0</v>
      </c>
      <c r="N495" s="1575"/>
      <c r="O495" s="1575">
        <v>2864.09</v>
      </c>
      <c r="P495" s="1575"/>
      <c r="Q495" s="1575">
        <v>0</v>
      </c>
      <c r="R495" s="1575"/>
      <c r="S495" s="1575"/>
      <c r="T495" s="1575"/>
      <c r="U495" s="1575"/>
    </row>
    <row r="496" spans="1:21" ht="10.9" customHeight="1">
      <c r="A496" s="1574" t="s">
        <v>1322</v>
      </c>
      <c r="B496" s="1574"/>
      <c r="C496" s="1574" t="s">
        <v>1510</v>
      </c>
      <c r="D496" s="1574"/>
      <c r="E496" s="1574"/>
      <c r="F496" s="1574" t="s">
        <v>2143</v>
      </c>
      <c r="G496" s="1574"/>
      <c r="H496" s="1574"/>
      <c r="I496" s="1574"/>
      <c r="J496" s="1412">
        <v>238103.15</v>
      </c>
      <c r="K496" s="1412">
        <v>0</v>
      </c>
      <c r="L496" s="1412">
        <v>44718.29</v>
      </c>
      <c r="M496" s="1575">
        <v>44718.29</v>
      </c>
      <c r="N496" s="1575"/>
      <c r="O496" s="1575">
        <v>238103.15</v>
      </c>
      <c r="P496" s="1575"/>
      <c r="Q496" s="1575">
        <v>0</v>
      </c>
      <c r="R496" s="1575"/>
      <c r="S496" s="1575"/>
      <c r="T496" s="1575"/>
      <c r="U496" s="1575"/>
    </row>
    <row r="497" spans="1:23" ht="10.9" customHeight="1">
      <c r="A497" s="1574" t="s">
        <v>1322</v>
      </c>
      <c r="B497" s="1574"/>
      <c r="C497" s="1574" t="s">
        <v>1511</v>
      </c>
      <c r="D497" s="1574"/>
      <c r="E497" s="1574"/>
      <c r="F497" s="1574" t="s">
        <v>2144</v>
      </c>
      <c r="G497" s="1574"/>
      <c r="H497" s="1574"/>
      <c r="I497" s="1574"/>
      <c r="J497" s="1412">
        <v>33952.67</v>
      </c>
      <c r="K497" s="1412">
        <v>0</v>
      </c>
      <c r="L497" s="1412">
        <v>88450.8</v>
      </c>
      <c r="M497" s="1575">
        <v>88450.8</v>
      </c>
      <c r="N497" s="1575"/>
      <c r="O497" s="1575">
        <v>33952.67</v>
      </c>
      <c r="P497" s="1575"/>
      <c r="Q497" s="1575">
        <v>0</v>
      </c>
      <c r="R497" s="1575"/>
      <c r="S497" s="1575"/>
      <c r="T497" s="1575"/>
      <c r="U497" s="1575"/>
    </row>
    <row r="498" spans="1:23" ht="10.9" customHeight="1">
      <c r="A498" s="1574" t="s">
        <v>1322</v>
      </c>
      <c r="B498" s="1574"/>
      <c r="C498" s="1574" t="s">
        <v>7023</v>
      </c>
      <c r="D498" s="1574"/>
      <c r="E498" s="1574"/>
      <c r="F498" s="1574" t="s">
        <v>7024</v>
      </c>
      <c r="G498" s="1574"/>
      <c r="H498" s="1574"/>
      <c r="I498" s="1574"/>
      <c r="J498" s="1412">
        <v>0</v>
      </c>
      <c r="K498" s="1412">
        <v>0</v>
      </c>
      <c r="L498" s="1412">
        <v>634.20000000000005</v>
      </c>
      <c r="M498" s="1575">
        <v>634.20000000000005</v>
      </c>
      <c r="N498" s="1575"/>
      <c r="O498" s="1575">
        <v>0</v>
      </c>
      <c r="P498" s="1575"/>
      <c r="Q498" s="1575">
        <v>0</v>
      </c>
      <c r="R498" s="1575"/>
      <c r="S498" s="1575"/>
      <c r="T498" s="1575"/>
      <c r="U498" s="1575"/>
    </row>
    <row r="499" spans="1:23" ht="10.9" customHeight="1">
      <c r="A499" s="1574" t="s">
        <v>1322</v>
      </c>
      <c r="B499" s="1574"/>
      <c r="C499" s="1574" t="s">
        <v>1512</v>
      </c>
      <c r="D499" s="1574"/>
      <c r="E499" s="1574"/>
      <c r="F499" s="1574" t="s">
        <v>2145</v>
      </c>
      <c r="G499" s="1574"/>
      <c r="H499" s="1574"/>
      <c r="I499" s="1574"/>
      <c r="J499" s="1412">
        <v>32985.64</v>
      </c>
      <c r="K499" s="1412">
        <v>0</v>
      </c>
      <c r="L499" s="1412">
        <v>3250.25</v>
      </c>
      <c r="M499" s="1575">
        <v>3250.25</v>
      </c>
      <c r="N499" s="1575"/>
      <c r="O499" s="1575">
        <v>32985.64</v>
      </c>
      <c r="P499" s="1575"/>
      <c r="Q499" s="1575">
        <v>0</v>
      </c>
      <c r="R499" s="1575"/>
      <c r="S499" s="1575"/>
      <c r="T499" s="1575"/>
      <c r="U499" s="1575"/>
    </row>
    <row r="500" spans="1:23" ht="10.9" customHeight="1">
      <c r="A500" s="1574" t="s">
        <v>1322</v>
      </c>
      <c r="B500" s="1574"/>
      <c r="C500" s="1574" t="s">
        <v>1513</v>
      </c>
      <c r="D500" s="1574"/>
      <c r="E500" s="1574"/>
      <c r="F500" s="1574" t="s">
        <v>2146</v>
      </c>
      <c r="G500" s="1574"/>
      <c r="H500" s="1574"/>
      <c r="I500" s="1574"/>
      <c r="J500" s="1412">
        <v>4273.72</v>
      </c>
      <c r="K500" s="1412">
        <v>0</v>
      </c>
      <c r="L500" s="1412">
        <v>9382.52</v>
      </c>
      <c r="M500" s="1575">
        <v>9382.52</v>
      </c>
      <c r="N500" s="1575"/>
      <c r="O500" s="1575">
        <v>4273.72</v>
      </c>
      <c r="P500" s="1575"/>
      <c r="Q500" s="1575">
        <v>0</v>
      </c>
      <c r="R500" s="1575"/>
      <c r="S500" s="1575"/>
      <c r="T500" s="1575"/>
      <c r="U500" s="1575"/>
    </row>
    <row r="501" spans="1:23" ht="10.9" customHeight="1">
      <c r="A501" s="1574" t="s">
        <v>1322</v>
      </c>
      <c r="B501" s="1574"/>
      <c r="C501" s="1574" t="s">
        <v>1832</v>
      </c>
      <c r="D501" s="1574"/>
      <c r="E501" s="1574"/>
      <c r="F501" s="1574" t="s">
        <v>2147</v>
      </c>
      <c r="G501" s="1574"/>
      <c r="H501" s="1574"/>
      <c r="I501" s="1574"/>
      <c r="J501" s="1412">
        <v>17156.240000000002</v>
      </c>
      <c r="K501" s="1412">
        <v>0</v>
      </c>
      <c r="L501" s="1412">
        <v>5360.19</v>
      </c>
      <c r="M501" s="1575">
        <v>5360.19</v>
      </c>
      <c r="N501" s="1575"/>
      <c r="O501" s="1575">
        <v>17156.240000000002</v>
      </c>
      <c r="P501" s="1575"/>
      <c r="Q501" s="1575">
        <v>0</v>
      </c>
      <c r="R501" s="1575"/>
      <c r="S501" s="1575"/>
      <c r="T501" s="1575"/>
      <c r="U501" s="1575"/>
    </row>
    <row r="502" spans="1:23" ht="10.9" customHeight="1">
      <c r="A502" s="1574" t="s">
        <v>1322</v>
      </c>
      <c r="B502" s="1574"/>
      <c r="C502" s="1574" t="s">
        <v>1514</v>
      </c>
      <c r="D502" s="1574"/>
      <c r="E502" s="1574"/>
      <c r="F502" s="1574" t="s">
        <v>2148</v>
      </c>
      <c r="G502" s="1574"/>
      <c r="H502" s="1574"/>
      <c r="I502" s="1574"/>
      <c r="J502" s="1412">
        <v>4766.21</v>
      </c>
      <c r="K502" s="1412">
        <v>0</v>
      </c>
      <c r="L502" s="1412">
        <v>0</v>
      </c>
      <c r="M502" s="1575">
        <v>3884.33</v>
      </c>
      <c r="N502" s="1575"/>
      <c r="O502" s="1575">
        <v>881.88</v>
      </c>
      <c r="P502" s="1575"/>
      <c r="Q502" s="1575">
        <v>0</v>
      </c>
      <c r="R502" s="1575"/>
      <c r="S502" s="1575"/>
      <c r="T502" s="1575"/>
      <c r="U502" s="1575"/>
    </row>
    <row r="503" spans="1:23" ht="10.9" customHeight="1">
      <c r="A503" s="1574" t="s">
        <v>1322</v>
      </c>
      <c r="B503" s="1574"/>
      <c r="C503" s="1574" t="s">
        <v>1515</v>
      </c>
      <c r="D503" s="1574"/>
      <c r="E503" s="1574"/>
      <c r="F503" s="1574" t="s">
        <v>2149</v>
      </c>
      <c r="G503" s="1574"/>
      <c r="H503" s="1574"/>
      <c r="I503" s="1574"/>
      <c r="J503" s="1412">
        <v>2728.89</v>
      </c>
      <c r="K503" s="1412">
        <v>0</v>
      </c>
      <c r="L503" s="1412">
        <v>0</v>
      </c>
      <c r="M503" s="1575">
        <v>0</v>
      </c>
      <c r="N503" s="1575"/>
      <c r="O503" s="1575">
        <v>2728.89</v>
      </c>
      <c r="P503" s="1575"/>
      <c r="Q503" s="1575">
        <v>0</v>
      </c>
      <c r="R503" s="1575"/>
      <c r="S503" s="1575"/>
      <c r="T503" s="1575"/>
      <c r="U503" s="1575"/>
    </row>
    <row r="504" spans="1:23" ht="10.9" customHeight="1">
      <c r="A504" s="1574" t="s">
        <v>1322</v>
      </c>
      <c r="B504" s="1574"/>
      <c r="C504" s="1574" t="s">
        <v>1516</v>
      </c>
      <c r="D504" s="1574"/>
      <c r="E504" s="1574"/>
      <c r="F504" s="1574" t="s">
        <v>2150</v>
      </c>
      <c r="G504" s="1574"/>
      <c r="H504" s="1574"/>
      <c r="I504" s="1574"/>
      <c r="J504" s="1412">
        <v>5133.08</v>
      </c>
      <c r="K504" s="1412">
        <v>0</v>
      </c>
      <c r="L504" s="1412">
        <v>8631.85</v>
      </c>
      <c r="M504" s="1575">
        <v>8631.85</v>
      </c>
      <c r="N504" s="1575"/>
      <c r="O504" s="1575">
        <v>5133.08</v>
      </c>
      <c r="P504" s="1575"/>
      <c r="Q504" s="1575">
        <v>0</v>
      </c>
      <c r="R504" s="1575"/>
      <c r="S504" s="1575"/>
      <c r="T504" s="1575"/>
      <c r="U504" s="1575"/>
    </row>
    <row r="505" spans="1:23" ht="10.9" customHeight="1">
      <c r="A505" s="1574" t="s">
        <v>1322</v>
      </c>
      <c r="B505" s="1574"/>
      <c r="C505" s="1574" t="s">
        <v>5785</v>
      </c>
      <c r="D505" s="1574"/>
      <c r="E505" s="1574"/>
      <c r="F505" s="1574" t="s">
        <v>5752</v>
      </c>
      <c r="G505" s="1574"/>
      <c r="H505" s="1574"/>
      <c r="I505" s="1574"/>
      <c r="J505" s="1412">
        <v>0</v>
      </c>
      <c r="K505" s="1412">
        <v>0</v>
      </c>
      <c r="L505" s="1412">
        <v>0</v>
      </c>
      <c r="M505" s="1575">
        <v>0</v>
      </c>
      <c r="N505" s="1575"/>
      <c r="O505" s="1575">
        <v>0</v>
      </c>
      <c r="P505" s="1575"/>
      <c r="Q505" s="1575">
        <v>0</v>
      </c>
      <c r="R505" s="1575"/>
      <c r="S505" s="1575"/>
      <c r="T505" s="1575"/>
      <c r="U505" s="1575"/>
    </row>
    <row r="506" spans="1:23" ht="10.9" customHeight="1">
      <c r="A506" s="1574" t="s">
        <v>1322</v>
      </c>
      <c r="B506" s="1574"/>
      <c r="C506" s="1574" t="s">
        <v>1517</v>
      </c>
      <c r="D506" s="1574"/>
      <c r="E506" s="1574"/>
      <c r="F506" s="1574" t="s">
        <v>1032</v>
      </c>
      <c r="G506" s="1574"/>
      <c r="H506" s="1574"/>
      <c r="I506" s="1574"/>
      <c r="J506" s="1412">
        <v>35247.56</v>
      </c>
      <c r="K506" s="1412">
        <v>0</v>
      </c>
      <c r="L506" s="1412">
        <v>0</v>
      </c>
      <c r="M506" s="1575">
        <v>0</v>
      </c>
      <c r="N506" s="1575"/>
      <c r="O506" s="1575">
        <v>35247.56</v>
      </c>
      <c r="P506" s="1575"/>
      <c r="Q506" s="1575">
        <v>0</v>
      </c>
      <c r="R506" s="1575"/>
      <c r="S506" s="1575"/>
      <c r="T506" s="1575"/>
      <c r="U506" s="1575"/>
    </row>
    <row r="507" spans="1:23" ht="10.9" customHeight="1">
      <c r="A507" s="1574" t="s">
        <v>1322</v>
      </c>
      <c r="B507" s="1574"/>
      <c r="C507" s="1574" t="s">
        <v>1518</v>
      </c>
      <c r="D507" s="1574"/>
      <c r="E507" s="1574"/>
      <c r="F507" s="1574" t="s">
        <v>1038</v>
      </c>
      <c r="G507" s="1574"/>
      <c r="H507" s="1574"/>
      <c r="I507" s="1574"/>
      <c r="J507" s="1412">
        <v>24489.09</v>
      </c>
      <c r="K507" s="1412">
        <v>0</v>
      </c>
      <c r="L507" s="1412">
        <v>0</v>
      </c>
      <c r="M507" s="1575">
        <v>0</v>
      </c>
      <c r="N507" s="1575"/>
      <c r="O507" s="1575">
        <v>24489.09</v>
      </c>
      <c r="P507" s="1575"/>
      <c r="Q507" s="1575">
        <v>0</v>
      </c>
      <c r="R507" s="1575"/>
      <c r="S507" s="1575"/>
      <c r="T507" s="1575"/>
      <c r="U507" s="1575"/>
    </row>
    <row r="508" spans="1:23" ht="17.25" customHeight="1">
      <c r="S508" s="1573" t="s">
        <v>2240</v>
      </c>
      <c r="T508" s="1573"/>
      <c r="U508" s="1573"/>
      <c r="V508" s="1573"/>
      <c r="W508" s="1573"/>
    </row>
    <row r="509" spans="1:23" ht="7.15" customHeight="1">
      <c r="C509" s="1586" t="s">
        <v>2987</v>
      </c>
      <c r="D509" s="1586"/>
      <c r="E509" s="1586"/>
      <c r="F509" s="1586"/>
      <c r="G509" s="1586"/>
      <c r="H509" s="1586"/>
      <c r="I509" s="1586"/>
      <c r="J509" s="1586"/>
      <c r="K509" s="1586"/>
      <c r="L509" s="1586"/>
      <c r="M509" s="1586"/>
      <c r="N509" s="1586"/>
      <c r="O509" s="1586"/>
      <c r="P509" s="1586"/>
      <c r="Q509" s="1586"/>
      <c r="R509" s="1586"/>
      <c r="S509" s="1586"/>
      <c r="T509" s="1586"/>
    </row>
    <row r="510" spans="1:23" ht="9.6" customHeight="1">
      <c r="A510" s="1587"/>
      <c r="B510" s="1587"/>
      <c r="C510" s="1587"/>
      <c r="D510" s="1587"/>
      <c r="E510" s="1587"/>
      <c r="F510" s="1587"/>
      <c r="G510" s="1586"/>
      <c r="H510" s="1586"/>
      <c r="I510" s="1586"/>
      <c r="J510" s="1586"/>
      <c r="K510" s="1586"/>
      <c r="L510" s="1586"/>
      <c r="M510" s="1586"/>
      <c r="N510" s="1586"/>
      <c r="O510" s="1586"/>
      <c r="P510" s="1586"/>
      <c r="Q510" s="1586"/>
      <c r="R510" s="1586"/>
      <c r="S510" s="1586"/>
      <c r="T510" s="1586"/>
    </row>
    <row r="511" spans="1:23" ht="13.35" customHeight="1">
      <c r="A511" s="1587"/>
      <c r="B511" s="1587"/>
      <c r="C511" s="1587"/>
      <c r="D511" s="1587"/>
      <c r="E511" s="1587"/>
      <c r="F511" s="1587"/>
      <c r="G511" s="1588" t="s">
        <v>79</v>
      </c>
      <c r="H511" s="1588"/>
      <c r="I511" s="1588"/>
      <c r="J511" s="1588"/>
      <c r="K511" s="1588"/>
      <c r="L511" s="1588"/>
      <c r="M511" s="1588"/>
      <c r="N511" s="1588"/>
      <c r="O511" s="1588"/>
      <c r="P511" s="1588"/>
      <c r="Q511" s="1588"/>
      <c r="R511" s="1588"/>
    </row>
    <row r="512" spans="1:23" ht="5.25" customHeight="1">
      <c r="A512" s="1587"/>
      <c r="B512" s="1587"/>
      <c r="C512" s="1587"/>
      <c r="D512" s="1587"/>
      <c r="E512" s="1587"/>
      <c r="F512" s="1587"/>
      <c r="G512" s="1581" t="s">
        <v>7015</v>
      </c>
      <c r="H512" s="1581"/>
      <c r="I512" s="1581"/>
      <c r="J512" s="1581"/>
      <c r="K512" s="1581"/>
      <c r="L512" s="1581"/>
      <c r="M512" s="1581"/>
      <c r="N512" s="1581"/>
      <c r="O512" s="1581"/>
      <c r="P512" s="1581"/>
      <c r="Q512" s="1581"/>
    </row>
    <row r="513" spans="1:23" ht="8.1" customHeight="1">
      <c r="B513" s="1580" t="s">
        <v>1916</v>
      </c>
      <c r="C513" s="1580"/>
      <c r="D513" s="1580"/>
      <c r="E513" s="1580"/>
      <c r="F513" s="1580"/>
      <c r="G513" s="1580"/>
      <c r="H513" s="1581"/>
      <c r="I513" s="1581"/>
      <c r="J513" s="1581"/>
      <c r="K513" s="1581"/>
      <c r="L513" s="1581"/>
      <c r="M513" s="1581"/>
      <c r="N513" s="1582" t="s">
        <v>5619</v>
      </c>
      <c r="O513" s="1582"/>
      <c r="P513" s="1582"/>
      <c r="Q513" s="1582"/>
      <c r="R513" s="1582"/>
      <c r="S513" s="1582"/>
      <c r="T513" s="1583" t="s">
        <v>7016</v>
      </c>
      <c r="U513" s="1583"/>
      <c r="V513" s="1583"/>
      <c r="W513" s="1583"/>
    </row>
    <row r="514" spans="1:23" ht="6" customHeight="1">
      <c r="B514" s="1580"/>
      <c r="C514" s="1580"/>
      <c r="D514" s="1580"/>
      <c r="E514" s="1580"/>
      <c r="F514" s="1580"/>
      <c r="G514" s="1580"/>
      <c r="H514" s="1584" t="s">
        <v>7017</v>
      </c>
      <c r="I514" s="1584"/>
      <c r="J514" s="1584"/>
      <c r="K514" s="1584"/>
      <c r="L514" s="1584"/>
      <c r="M514" s="1584"/>
      <c r="N514" s="1582"/>
      <c r="O514" s="1582"/>
      <c r="P514" s="1582"/>
      <c r="Q514" s="1582"/>
      <c r="R514" s="1582"/>
      <c r="S514" s="1582"/>
      <c r="T514" s="1583"/>
      <c r="U514" s="1583"/>
      <c r="V514" s="1583"/>
      <c r="W514" s="1583"/>
    </row>
    <row r="515" spans="1:23" ht="7.35" customHeight="1">
      <c r="B515" s="1580" t="s">
        <v>1994</v>
      </c>
      <c r="C515" s="1580"/>
      <c r="D515" s="1580"/>
      <c r="E515" s="1585"/>
      <c r="F515" s="1585"/>
      <c r="G515" s="1585"/>
      <c r="H515" s="1585"/>
      <c r="I515" s="1585"/>
      <c r="J515" s="1585"/>
      <c r="K515" s="1585"/>
      <c r="L515" s="1585"/>
      <c r="M515" s="1585"/>
      <c r="N515" s="1585"/>
      <c r="O515" s="1585"/>
      <c r="P515" s="1585"/>
      <c r="Q515" s="1585"/>
      <c r="R515" s="1582"/>
      <c r="S515" s="1582"/>
      <c r="T515" s="1582" t="s">
        <v>7018</v>
      </c>
      <c r="U515" s="1582"/>
    </row>
    <row r="516" spans="1:23" ht="6.75" customHeight="1">
      <c r="E516" s="1585"/>
      <c r="F516" s="1585"/>
      <c r="G516" s="1585"/>
      <c r="H516" s="1585"/>
      <c r="I516" s="1585"/>
      <c r="J516" s="1585"/>
      <c r="K516" s="1585"/>
      <c r="L516" s="1585"/>
      <c r="M516" s="1585"/>
      <c r="N516" s="1585"/>
      <c r="O516" s="1585"/>
      <c r="P516" s="1585"/>
      <c r="Q516" s="1585"/>
      <c r="R516" s="1582"/>
      <c r="S516" s="1582"/>
      <c r="T516" s="1582"/>
      <c r="U516" s="1582"/>
    </row>
    <row r="517" spans="1:23" ht="10.9" customHeight="1">
      <c r="A517" s="1576"/>
      <c r="B517" s="1576"/>
      <c r="C517" s="1576"/>
      <c r="D517" s="1576"/>
      <c r="E517" s="1576"/>
      <c r="F517" s="1576"/>
      <c r="G517" s="1576"/>
      <c r="H517" s="1576"/>
      <c r="I517" s="1576"/>
      <c r="J517" s="1577" t="s">
        <v>1314</v>
      </c>
      <c r="K517" s="1577"/>
      <c r="L517" s="1577" t="s">
        <v>1315</v>
      </c>
      <c r="M517" s="1577"/>
      <c r="N517" s="1577"/>
      <c r="O517" s="1577" t="s">
        <v>1316</v>
      </c>
      <c r="P517" s="1577"/>
      <c r="Q517" s="1577"/>
      <c r="R517" s="1577"/>
      <c r="S517" s="1577"/>
      <c r="T517" s="1577"/>
      <c r="U517" s="1577"/>
    </row>
    <row r="518" spans="1:23" ht="14.1" customHeight="1">
      <c r="A518" s="1578" t="s">
        <v>1317</v>
      </c>
      <c r="B518" s="1578"/>
      <c r="C518" s="1578" t="s">
        <v>1318</v>
      </c>
      <c r="D518" s="1578"/>
      <c r="E518" s="1578"/>
      <c r="F518" s="1578" t="s">
        <v>1319</v>
      </c>
      <c r="G518" s="1578"/>
      <c r="H518" s="1578"/>
      <c r="I518" s="1578"/>
      <c r="J518" s="1413" t="s">
        <v>1320</v>
      </c>
      <c r="K518" s="1413" t="s">
        <v>1321</v>
      </c>
      <c r="L518" s="1413" t="s">
        <v>1320</v>
      </c>
      <c r="M518" s="1579" t="s">
        <v>1321</v>
      </c>
      <c r="N518" s="1579"/>
      <c r="O518" s="1579" t="s">
        <v>1320</v>
      </c>
      <c r="P518" s="1579"/>
      <c r="Q518" s="1579" t="s">
        <v>1321</v>
      </c>
      <c r="R518" s="1579"/>
      <c r="S518" s="1579"/>
      <c r="T518" s="1579"/>
      <c r="U518" s="1579"/>
    </row>
    <row r="519" spans="1:23" ht="14.1" customHeight="1">
      <c r="A519" s="1574" t="s">
        <v>1322</v>
      </c>
      <c r="B519" s="1574"/>
      <c r="C519" s="1574" t="s">
        <v>1519</v>
      </c>
      <c r="D519" s="1574"/>
      <c r="E519" s="1574"/>
      <c r="F519" s="1574" t="s">
        <v>2103</v>
      </c>
      <c r="G519" s="1574"/>
      <c r="H519" s="1574"/>
      <c r="I519" s="1574"/>
      <c r="J519" s="1412">
        <v>4789.8500000000004</v>
      </c>
      <c r="K519" s="1412">
        <v>0</v>
      </c>
      <c r="L519" s="1412">
        <v>4605.9399999999996</v>
      </c>
      <c r="M519" s="1575">
        <v>4789.8599999999997</v>
      </c>
      <c r="N519" s="1575"/>
      <c r="O519" s="1575">
        <v>4605.93</v>
      </c>
      <c r="P519" s="1575"/>
      <c r="Q519" s="1575">
        <v>0</v>
      </c>
      <c r="R519" s="1575"/>
      <c r="S519" s="1575"/>
      <c r="T519" s="1575"/>
      <c r="U519" s="1575"/>
    </row>
    <row r="520" spans="1:23" ht="10.9" customHeight="1">
      <c r="A520" s="1574" t="s">
        <v>1322</v>
      </c>
      <c r="B520" s="1574"/>
      <c r="C520" s="1574" t="s">
        <v>1520</v>
      </c>
      <c r="D520" s="1574"/>
      <c r="E520" s="1574"/>
      <c r="F520" s="1574" t="s">
        <v>2152</v>
      </c>
      <c r="G520" s="1574"/>
      <c r="H520" s="1574"/>
      <c r="I520" s="1574"/>
      <c r="J520" s="1412">
        <v>30002.42</v>
      </c>
      <c r="K520" s="1412">
        <v>0</v>
      </c>
      <c r="L520" s="1412">
        <v>713.47</v>
      </c>
      <c r="M520" s="1575">
        <v>713.47</v>
      </c>
      <c r="N520" s="1575"/>
      <c r="O520" s="1575">
        <v>30002.42</v>
      </c>
      <c r="P520" s="1575"/>
      <c r="Q520" s="1575">
        <v>0</v>
      </c>
      <c r="R520" s="1575"/>
      <c r="S520" s="1575"/>
      <c r="T520" s="1575"/>
      <c r="U520" s="1575"/>
    </row>
    <row r="521" spans="1:23" ht="10.9" customHeight="1">
      <c r="A521" s="1574" t="s">
        <v>1322</v>
      </c>
      <c r="B521" s="1574"/>
      <c r="C521" s="1574" t="s">
        <v>3106</v>
      </c>
      <c r="D521" s="1574"/>
      <c r="E521" s="1574"/>
      <c r="F521" s="1574" t="s">
        <v>3107</v>
      </c>
      <c r="G521" s="1574"/>
      <c r="H521" s="1574"/>
      <c r="I521" s="1574"/>
      <c r="J521" s="1412">
        <v>0</v>
      </c>
      <c r="K521" s="1412">
        <v>0</v>
      </c>
      <c r="L521" s="1412">
        <v>1150.92</v>
      </c>
      <c r="M521" s="1575">
        <v>1150.92</v>
      </c>
      <c r="N521" s="1575"/>
      <c r="O521" s="1575">
        <v>0</v>
      </c>
      <c r="P521" s="1575"/>
      <c r="Q521" s="1575">
        <v>0</v>
      </c>
      <c r="R521" s="1575"/>
      <c r="S521" s="1575"/>
      <c r="T521" s="1575"/>
      <c r="U521" s="1575"/>
    </row>
    <row r="522" spans="1:23" ht="10.9" customHeight="1">
      <c r="A522" s="1574" t="s">
        <v>1322</v>
      </c>
      <c r="B522" s="1574"/>
      <c r="C522" s="1574" t="s">
        <v>3108</v>
      </c>
      <c r="D522" s="1574"/>
      <c r="E522" s="1574"/>
      <c r="F522" s="1574" t="s">
        <v>1939</v>
      </c>
      <c r="G522" s="1574"/>
      <c r="H522" s="1574"/>
      <c r="I522" s="1574"/>
      <c r="J522" s="1412">
        <v>3333.14</v>
      </c>
      <c r="K522" s="1412">
        <v>0</v>
      </c>
      <c r="L522" s="1412">
        <v>3441.75</v>
      </c>
      <c r="M522" s="1575">
        <v>3441.75</v>
      </c>
      <c r="N522" s="1575"/>
      <c r="O522" s="1575">
        <v>3333.14</v>
      </c>
      <c r="P522" s="1575"/>
      <c r="Q522" s="1575">
        <v>0</v>
      </c>
      <c r="R522" s="1575"/>
      <c r="S522" s="1575"/>
      <c r="T522" s="1575"/>
      <c r="U522" s="1575"/>
    </row>
    <row r="523" spans="1:23" ht="10.9" customHeight="1">
      <c r="A523" s="1574" t="s">
        <v>1322</v>
      </c>
      <c r="B523" s="1574"/>
      <c r="C523" s="1574" t="s">
        <v>4051</v>
      </c>
      <c r="D523" s="1574"/>
      <c r="E523" s="1574"/>
      <c r="F523" s="1574" t="s">
        <v>4052</v>
      </c>
      <c r="G523" s="1574"/>
      <c r="H523" s="1574"/>
      <c r="I523" s="1574"/>
      <c r="J523" s="1412">
        <v>38124</v>
      </c>
      <c r="K523" s="1412">
        <v>0</v>
      </c>
      <c r="L523" s="1412">
        <v>19062</v>
      </c>
      <c r="M523" s="1575">
        <v>57186</v>
      </c>
      <c r="N523" s="1575"/>
      <c r="O523" s="1575">
        <v>0</v>
      </c>
      <c r="P523" s="1575"/>
      <c r="Q523" s="1575">
        <v>0</v>
      </c>
      <c r="R523" s="1575"/>
      <c r="S523" s="1575"/>
      <c r="T523" s="1575"/>
      <c r="U523" s="1575"/>
    </row>
    <row r="524" spans="1:23" ht="10.9" customHeight="1">
      <c r="A524" s="1574" t="s">
        <v>1322</v>
      </c>
      <c r="B524" s="1574"/>
      <c r="C524" s="1574" t="s">
        <v>5597</v>
      </c>
      <c r="D524" s="1574"/>
      <c r="E524" s="1574"/>
      <c r="F524" s="1574" t="s">
        <v>2974</v>
      </c>
      <c r="G524" s="1574"/>
      <c r="H524" s="1574"/>
      <c r="I524" s="1574"/>
      <c r="J524" s="1412">
        <v>182045.17</v>
      </c>
      <c r="K524" s="1412">
        <v>0</v>
      </c>
      <c r="L524" s="1412">
        <v>153546.03</v>
      </c>
      <c r="M524" s="1575">
        <v>335591.2</v>
      </c>
      <c r="N524" s="1575"/>
      <c r="O524" s="1575">
        <v>0</v>
      </c>
      <c r="P524" s="1575"/>
      <c r="Q524" s="1575">
        <v>0</v>
      </c>
      <c r="R524" s="1575"/>
      <c r="S524" s="1575"/>
      <c r="T524" s="1575"/>
      <c r="U524" s="1575"/>
    </row>
    <row r="525" spans="1:23" ht="10.9" customHeight="1">
      <c r="A525" s="1574" t="s">
        <v>1322</v>
      </c>
      <c r="B525" s="1574"/>
      <c r="C525" s="1574" t="s">
        <v>6319</v>
      </c>
      <c r="D525" s="1574"/>
      <c r="E525" s="1574"/>
      <c r="F525" s="1574" t="s">
        <v>6320</v>
      </c>
      <c r="G525" s="1574"/>
      <c r="H525" s="1574"/>
      <c r="I525" s="1574"/>
      <c r="J525" s="1412">
        <v>0</v>
      </c>
      <c r="K525" s="1412">
        <v>0</v>
      </c>
      <c r="L525" s="1412">
        <v>0</v>
      </c>
      <c r="M525" s="1575">
        <v>0</v>
      </c>
      <c r="N525" s="1575"/>
      <c r="O525" s="1575">
        <v>0</v>
      </c>
      <c r="P525" s="1575"/>
      <c r="Q525" s="1575">
        <v>0</v>
      </c>
      <c r="R525" s="1575"/>
      <c r="S525" s="1575"/>
      <c r="T525" s="1575"/>
      <c r="U525" s="1575"/>
    </row>
    <row r="526" spans="1:23" ht="10.9" customHeight="1">
      <c r="A526" s="1574" t="s">
        <v>1322</v>
      </c>
      <c r="B526" s="1574"/>
      <c r="C526" s="1574" t="s">
        <v>1521</v>
      </c>
      <c r="D526" s="1574"/>
      <c r="E526" s="1574"/>
      <c r="F526" s="1574" t="s">
        <v>2153</v>
      </c>
      <c r="G526" s="1574"/>
      <c r="H526" s="1574"/>
      <c r="I526" s="1574"/>
      <c r="J526" s="1412">
        <v>0</v>
      </c>
      <c r="K526" s="1412">
        <v>0</v>
      </c>
      <c r="L526" s="1412">
        <v>0</v>
      </c>
      <c r="M526" s="1575">
        <v>0</v>
      </c>
      <c r="N526" s="1575"/>
      <c r="O526" s="1575">
        <v>0</v>
      </c>
      <c r="P526" s="1575"/>
      <c r="Q526" s="1575">
        <v>0</v>
      </c>
      <c r="R526" s="1575"/>
      <c r="S526" s="1575"/>
      <c r="T526" s="1575"/>
      <c r="U526" s="1575"/>
    </row>
    <row r="527" spans="1:23" ht="10.9" customHeight="1">
      <c r="A527" s="1574" t="s">
        <v>1322</v>
      </c>
      <c r="B527" s="1574"/>
      <c r="C527" s="1574" t="s">
        <v>2853</v>
      </c>
      <c r="D527" s="1574"/>
      <c r="E527" s="1574"/>
      <c r="F527" s="1574" t="s">
        <v>2838</v>
      </c>
      <c r="G527" s="1574"/>
      <c r="H527" s="1574"/>
      <c r="I527" s="1574"/>
      <c r="J527" s="1412">
        <v>3910.69</v>
      </c>
      <c r="K527" s="1412">
        <v>0</v>
      </c>
      <c r="L527" s="1412">
        <v>7626.36</v>
      </c>
      <c r="M527" s="1575">
        <v>7626.36</v>
      </c>
      <c r="N527" s="1575"/>
      <c r="O527" s="1575">
        <v>3910.69</v>
      </c>
      <c r="P527" s="1575"/>
      <c r="Q527" s="1575">
        <v>0</v>
      </c>
      <c r="R527" s="1575"/>
      <c r="S527" s="1575"/>
      <c r="T527" s="1575"/>
      <c r="U527" s="1575"/>
    </row>
    <row r="528" spans="1:23" ht="10.9" customHeight="1">
      <c r="A528" s="1574" t="s">
        <v>1322</v>
      </c>
      <c r="B528" s="1574"/>
      <c r="C528" s="1574" t="s">
        <v>1764</v>
      </c>
      <c r="D528" s="1574"/>
      <c r="E528" s="1574"/>
      <c r="F528" s="1574" t="s">
        <v>2154</v>
      </c>
      <c r="G528" s="1574"/>
      <c r="H528" s="1574"/>
      <c r="I528" s="1574"/>
      <c r="J528" s="1412">
        <v>0</v>
      </c>
      <c r="K528" s="1412">
        <v>0</v>
      </c>
      <c r="L528" s="1412">
        <v>123476.53</v>
      </c>
      <c r="M528" s="1575">
        <v>123476.53</v>
      </c>
      <c r="N528" s="1575"/>
      <c r="O528" s="1575">
        <v>0</v>
      </c>
      <c r="P528" s="1575"/>
      <c r="Q528" s="1575">
        <v>0</v>
      </c>
      <c r="R528" s="1575"/>
      <c r="S528" s="1575"/>
      <c r="T528" s="1575"/>
      <c r="U528" s="1575"/>
    </row>
    <row r="529" spans="1:21" ht="10.9" customHeight="1">
      <c r="A529" s="1574" t="s">
        <v>1322</v>
      </c>
      <c r="B529" s="1574"/>
      <c r="C529" s="1574" t="s">
        <v>1522</v>
      </c>
      <c r="D529" s="1574"/>
      <c r="E529" s="1574"/>
      <c r="F529" s="1574" t="s">
        <v>2155</v>
      </c>
      <c r="G529" s="1574"/>
      <c r="H529" s="1574"/>
      <c r="I529" s="1574"/>
      <c r="J529" s="1412">
        <v>7222.24</v>
      </c>
      <c r="K529" s="1412">
        <v>0</v>
      </c>
      <c r="L529" s="1412">
        <v>14444.48</v>
      </c>
      <c r="M529" s="1575">
        <v>21666.720000000001</v>
      </c>
      <c r="N529" s="1575"/>
      <c r="O529" s="1575">
        <v>0</v>
      </c>
      <c r="P529" s="1575"/>
      <c r="Q529" s="1575">
        <v>0</v>
      </c>
      <c r="R529" s="1575"/>
      <c r="S529" s="1575"/>
      <c r="T529" s="1575"/>
      <c r="U529" s="1575"/>
    </row>
    <row r="530" spans="1:21" ht="10.9" customHeight="1">
      <c r="A530" s="1574" t="s">
        <v>1322</v>
      </c>
      <c r="B530" s="1574"/>
      <c r="C530" s="1574" t="s">
        <v>1523</v>
      </c>
      <c r="D530" s="1574"/>
      <c r="E530" s="1574"/>
      <c r="F530" s="1574" t="s">
        <v>2156</v>
      </c>
      <c r="G530" s="1574"/>
      <c r="H530" s="1574"/>
      <c r="I530" s="1574"/>
      <c r="J530" s="1412">
        <v>0</v>
      </c>
      <c r="K530" s="1412">
        <v>0</v>
      </c>
      <c r="L530" s="1412">
        <v>5094.57</v>
      </c>
      <c r="M530" s="1575">
        <v>5094.57</v>
      </c>
      <c r="N530" s="1575"/>
      <c r="O530" s="1575">
        <v>0</v>
      </c>
      <c r="P530" s="1575"/>
      <c r="Q530" s="1575">
        <v>0</v>
      </c>
      <c r="R530" s="1575"/>
      <c r="S530" s="1575"/>
      <c r="T530" s="1575"/>
      <c r="U530" s="1575"/>
    </row>
    <row r="531" spans="1:21" ht="10.9" customHeight="1">
      <c r="A531" s="1574" t="s">
        <v>1322</v>
      </c>
      <c r="B531" s="1574"/>
      <c r="C531" s="1574" t="s">
        <v>1524</v>
      </c>
      <c r="D531" s="1574"/>
      <c r="E531" s="1574"/>
      <c r="F531" s="1574" t="s">
        <v>2157</v>
      </c>
      <c r="G531" s="1574"/>
      <c r="H531" s="1574"/>
      <c r="I531" s="1574"/>
      <c r="J531" s="1412">
        <v>175019.54</v>
      </c>
      <c r="K531" s="1412">
        <v>0</v>
      </c>
      <c r="L531" s="1412">
        <v>0</v>
      </c>
      <c r="M531" s="1575">
        <v>172514.31</v>
      </c>
      <c r="N531" s="1575"/>
      <c r="O531" s="1575">
        <v>2505.23</v>
      </c>
      <c r="P531" s="1575"/>
      <c r="Q531" s="1575">
        <v>0</v>
      </c>
      <c r="R531" s="1575"/>
      <c r="S531" s="1575"/>
      <c r="T531" s="1575"/>
      <c r="U531" s="1575"/>
    </row>
    <row r="532" spans="1:21" ht="10.9" customHeight="1">
      <c r="A532" s="1574" t="s">
        <v>1322</v>
      </c>
      <c r="B532" s="1574"/>
      <c r="C532" s="1574" t="s">
        <v>1525</v>
      </c>
      <c r="D532" s="1574"/>
      <c r="E532" s="1574"/>
      <c r="F532" s="1574" t="s">
        <v>2158</v>
      </c>
      <c r="G532" s="1574"/>
      <c r="H532" s="1574"/>
      <c r="I532" s="1574"/>
      <c r="J532" s="1412">
        <v>0</v>
      </c>
      <c r="K532" s="1412">
        <v>0</v>
      </c>
      <c r="L532" s="1412">
        <v>344866.59</v>
      </c>
      <c r="M532" s="1575">
        <v>344866.59</v>
      </c>
      <c r="N532" s="1575"/>
      <c r="O532" s="1575">
        <v>0</v>
      </c>
      <c r="P532" s="1575"/>
      <c r="Q532" s="1575">
        <v>0</v>
      </c>
      <c r="R532" s="1575"/>
      <c r="S532" s="1575"/>
      <c r="T532" s="1575"/>
      <c r="U532" s="1575"/>
    </row>
    <row r="533" spans="1:21" ht="10.9" customHeight="1">
      <c r="A533" s="1574" t="s">
        <v>1322</v>
      </c>
      <c r="B533" s="1574"/>
      <c r="C533" s="1574" t="s">
        <v>1526</v>
      </c>
      <c r="D533" s="1574"/>
      <c r="E533" s="1574"/>
      <c r="F533" s="1574" t="s">
        <v>1998</v>
      </c>
      <c r="G533" s="1574"/>
      <c r="H533" s="1574"/>
      <c r="I533" s="1574"/>
      <c r="J533" s="1412">
        <v>10053.629999999999</v>
      </c>
      <c r="K533" s="1412">
        <v>0</v>
      </c>
      <c r="L533" s="1412">
        <v>2372.5300000000002</v>
      </c>
      <c r="M533" s="1575">
        <v>2062.56</v>
      </c>
      <c r="N533" s="1575"/>
      <c r="O533" s="1575">
        <v>10363.6</v>
      </c>
      <c r="P533" s="1575"/>
      <c r="Q533" s="1575">
        <v>0</v>
      </c>
      <c r="R533" s="1575"/>
      <c r="S533" s="1575"/>
      <c r="T533" s="1575"/>
      <c r="U533" s="1575"/>
    </row>
    <row r="534" spans="1:21" ht="10.9" customHeight="1">
      <c r="A534" s="1574" t="s">
        <v>1322</v>
      </c>
      <c r="B534" s="1574"/>
      <c r="C534" s="1574" t="s">
        <v>1527</v>
      </c>
      <c r="D534" s="1574"/>
      <c r="E534" s="1574"/>
      <c r="F534" s="1574" t="s">
        <v>1033</v>
      </c>
      <c r="G534" s="1574"/>
      <c r="H534" s="1574"/>
      <c r="I534" s="1574"/>
      <c r="J534" s="1412">
        <v>205298.74</v>
      </c>
      <c r="K534" s="1412">
        <v>0</v>
      </c>
      <c r="L534" s="1412">
        <v>3236.33</v>
      </c>
      <c r="M534" s="1575">
        <v>1508.52</v>
      </c>
      <c r="N534" s="1575"/>
      <c r="O534" s="1575">
        <v>207026.55</v>
      </c>
      <c r="P534" s="1575"/>
      <c r="Q534" s="1575">
        <v>0</v>
      </c>
      <c r="R534" s="1575"/>
      <c r="S534" s="1575"/>
      <c r="T534" s="1575"/>
      <c r="U534" s="1575"/>
    </row>
    <row r="535" spans="1:21" ht="10.9" customHeight="1">
      <c r="A535" s="1574" t="s">
        <v>1322</v>
      </c>
      <c r="B535" s="1574"/>
      <c r="C535" s="1574" t="s">
        <v>1528</v>
      </c>
      <c r="D535" s="1574"/>
      <c r="E535" s="1574"/>
      <c r="F535" s="1574" t="s">
        <v>2159</v>
      </c>
      <c r="G535" s="1574"/>
      <c r="H535" s="1574"/>
      <c r="I535" s="1574"/>
      <c r="J535" s="1412">
        <v>0</v>
      </c>
      <c r="K535" s="1412">
        <v>0</v>
      </c>
      <c r="L535" s="1412">
        <v>64827.519999999997</v>
      </c>
      <c r="M535" s="1575">
        <v>64827.519999999997</v>
      </c>
      <c r="N535" s="1575"/>
      <c r="O535" s="1575">
        <v>0</v>
      </c>
      <c r="P535" s="1575"/>
      <c r="Q535" s="1575">
        <v>0</v>
      </c>
      <c r="R535" s="1575"/>
      <c r="S535" s="1575"/>
      <c r="T535" s="1575"/>
      <c r="U535" s="1575"/>
    </row>
    <row r="536" spans="1:21" ht="10.9" customHeight="1">
      <c r="A536" s="1574" t="s">
        <v>1322</v>
      </c>
      <c r="B536" s="1574"/>
      <c r="C536" s="1574" t="s">
        <v>2160</v>
      </c>
      <c r="D536" s="1574"/>
      <c r="E536" s="1574"/>
      <c r="F536" s="1574" t="s">
        <v>2161</v>
      </c>
      <c r="G536" s="1574"/>
      <c r="H536" s="1574"/>
      <c r="I536" s="1574"/>
      <c r="J536" s="1412">
        <v>25572.69</v>
      </c>
      <c r="K536" s="1412">
        <v>0</v>
      </c>
      <c r="L536" s="1412">
        <v>8631.7199999999993</v>
      </c>
      <c r="M536" s="1575">
        <v>0</v>
      </c>
      <c r="N536" s="1575"/>
      <c r="O536" s="1575">
        <v>34204.410000000003</v>
      </c>
      <c r="P536" s="1575"/>
      <c r="Q536" s="1575">
        <v>0</v>
      </c>
      <c r="R536" s="1575"/>
      <c r="S536" s="1575"/>
      <c r="T536" s="1575"/>
      <c r="U536" s="1575"/>
    </row>
    <row r="537" spans="1:21" ht="10.9" customHeight="1">
      <c r="A537" s="1574" t="s">
        <v>1322</v>
      </c>
      <c r="B537" s="1574"/>
      <c r="C537" s="1574" t="s">
        <v>2960</v>
      </c>
      <c r="D537" s="1574"/>
      <c r="E537" s="1574"/>
      <c r="F537" s="1574" t="s">
        <v>2961</v>
      </c>
      <c r="G537" s="1574"/>
      <c r="H537" s="1574"/>
      <c r="I537" s="1574"/>
      <c r="J537" s="1412">
        <v>343204.64</v>
      </c>
      <c r="K537" s="1412">
        <v>0</v>
      </c>
      <c r="L537" s="1412">
        <v>0</v>
      </c>
      <c r="M537" s="1575">
        <v>0</v>
      </c>
      <c r="N537" s="1575"/>
      <c r="O537" s="1575">
        <v>343204.64</v>
      </c>
      <c r="P537" s="1575"/>
      <c r="Q537" s="1575">
        <v>0</v>
      </c>
      <c r="R537" s="1575"/>
      <c r="S537" s="1575"/>
      <c r="T537" s="1575"/>
      <c r="U537" s="1575"/>
    </row>
    <row r="538" spans="1:21" ht="10.9" customHeight="1">
      <c r="A538" s="1574" t="s">
        <v>1322</v>
      </c>
      <c r="B538" s="1574"/>
      <c r="C538" s="1574" t="s">
        <v>7025</v>
      </c>
      <c r="D538" s="1574"/>
      <c r="E538" s="1574"/>
      <c r="F538" s="1574" t="s">
        <v>7026</v>
      </c>
      <c r="G538" s="1574"/>
      <c r="H538" s="1574"/>
      <c r="I538" s="1574"/>
      <c r="J538" s="1412">
        <v>0</v>
      </c>
      <c r="K538" s="1412">
        <v>0</v>
      </c>
      <c r="L538" s="1412">
        <v>863.91</v>
      </c>
      <c r="M538" s="1575">
        <v>0</v>
      </c>
      <c r="N538" s="1575"/>
      <c r="O538" s="1575">
        <v>863.91</v>
      </c>
      <c r="P538" s="1575"/>
      <c r="Q538" s="1575">
        <v>0</v>
      </c>
      <c r="R538" s="1575"/>
      <c r="S538" s="1575"/>
      <c r="T538" s="1575"/>
      <c r="U538" s="1575"/>
    </row>
    <row r="539" spans="1:21" ht="10.9" customHeight="1">
      <c r="A539" s="1574" t="s">
        <v>1322</v>
      </c>
      <c r="B539" s="1574"/>
      <c r="C539" s="1574" t="s">
        <v>1529</v>
      </c>
      <c r="D539" s="1574"/>
      <c r="E539" s="1574"/>
      <c r="F539" s="1574" t="s">
        <v>2162</v>
      </c>
      <c r="G539" s="1574"/>
      <c r="H539" s="1574"/>
      <c r="I539" s="1574"/>
      <c r="J539" s="1412">
        <v>47.92</v>
      </c>
      <c r="K539" s="1412">
        <v>0</v>
      </c>
      <c r="L539" s="1412">
        <v>11.41</v>
      </c>
      <c r="M539" s="1575">
        <v>59.33</v>
      </c>
      <c r="N539" s="1575"/>
      <c r="O539" s="1575">
        <v>0</v>
      </c>
      <c r="P539" s="1575"/>
      <c r="Q539" s="1575">
        <v>0</v>
      </c>
      <c r="R539" s="1575"/>
      <c r="S539" s="1575"/>
      <c r="T539" s="1575"/>
      <c r="U539" s="1575"/>
    </row>
    <row r="540" spans="1:21" ht="10.9" customHeight="1">
      <c r="A540" s="1574" t="s">
        <v>1322</v>
      </c>
      <c r="B540" s="1574"/>
      <c r="C540" s="1574" t="s">
        <v>1530</v>
      </c>
      <c r="D540" s="1574"/>
      <c r="E540" s="1574"/>
      <c r="F540" s="1574" t="s">
        <v>2163</v>
      </c>
      <c r="G540" s="1574"/>
      <c r="H540" s="1574"/>
      <c r="I540" s="1574"/>
      <c r="J540" s="1412">
        <v>9735.99</v>
      </c>
      <c r="K540" s="1412">
        <v>0</v>
      </c>
      <c r="L540" s="1412">
        <v>19471.98</v>
      </c>
      <c r="M540" s="1575">
        <v>29207.97</v>
      </c>
      <c r="N540" s="1575"/>
      <c r="O540" s="1575">
        <v>0</v>
      </c>
      <c r="P540" s="1575"/>
      <c r="Q540" s="1575">
        <v>0</v>
      </c>
      <c r="R540" s="1575"/>
      <c r="S540" s="1575"/>
      <c r="T540" s="1575"/>
      <c r="U540" s="1575"/>
    </row>
    <row r="541" spans="1:21" ht="10.9" customHeight="1">
      <c r="A541" s="1574" t="s">
        <v>1322</v>
      </c>
      <c r="B541" s="1574"/>
      <c r="C541" s="1574" t="s">
        <v>1531</v>
      </c>
      <c r="D541" s="1574"/>
      <c r="E541" s="1574"/>
      <c r="F541" s="1574" t="s">
        <v>2164</v>
      </c>
      <c r="G541" s="1574"/>
      <c r="H541" s="1574"/>
      <c r="I541" s="1574"/>
      <c r="J541" s="1412">
        <v>326.29000000000002</v>
      </c>
      <c r="K541" s="1412">
        <v>0</v>
      </c>
      <c r="L541" s="1412">
        <v>602.38</v>
      </c>
      <c r="M541" s="1575">
        <v>326.27999999999997</v>
      </c>
      <c r="N541" s="1575"/>
      <c r="O541" s="1575">
        <v>602.39</v>
      </c>
      <c r="P541" s="1575"/>
      <c r="Q541" s="1575">
        <v>0</v>
      </c>
      <c r="R541" s="1575"/>
      <c r="S541" s="1575"/>
      <c r="T541" s="1575"/>
      <c r="U541" s="1575"/>
    </row>
    <row r="542" spans="1:21" ht="10.9" customHeight="1">
      <c r="A542" s="1574" t="s">
        <v>1322</v>
      </c>
      <c r="B542" s="1574"/>
      <c r="C542" s="1574" t="s">
        <v>1532</v>
      </c>
      <c r="D542" s="1574"/>
      <c r="E542" s="1574"/>
      <c r="F542" s="1574" t="s">
        <v>2150</v>
      </c>
      <c r="G542" s="1574"/>
      <c r="H542" s="1574"/>
      <c r="I542" s="1574"/>
      <c r="J542" s="1412">
        <v>7546.17</v>
      </c>
      <c r="K542" s="1412">
        <v>0</v>
      </c>
      <c r="L542" s="1412">
        <v>3306.85</v>
      </c>
      <c r="M542" s="1575">
        <v>3306.85</v>
      </c>
      <c r="N542" s="1575"/>
      <c r="O542" s="1575">
        <v>7546.17</v>
      </c>
      <c r="P542" s="1575"/>
      <c r="Q542" s="1575">
        <v>0</v>
      </c>
      <c r="R542" s="1575"/>
      <c r="S542" s="1575"/>
      <c r="T542" s="1575"/>
      <c r="U542" s="1575"/>
    </row>
    <row r="543" spans="1:21" ht="10.9" customHeight="1">
      <c r="A543" s="1574" t="s">
        <v>1322</v>
      </c>
      <c r="B543" s="1574"/>
      <c r="C543" s="1574" t="s">
        <v>1533</v>
      </c>
      <c r="D543" s="1574"/>
      <c r="E543" s="1574"/>
      <c r="F543" s="1574" t="s">
        <v>2165</v>
      </c>
      <c r="G543" s="1574"/>
      <c r="H543" s="1574"/>
      <c r="I543" s="1574"/>
      <c r="J543" s="1412">
        <v>0</v>
      </c>
      <c r="K543" s="1412">
        <v>0</v>
      </c>
      <c r="L543" s="1412">
        <v>6233.87</v>
      </c>
      <c r="M543" s="1575">
        <v>6233.87</v>
      </c>
      <c r="N543" s="1575"/>
      <c r="O543" s="1575">
        <v>0</v>
      </c>
      <c r="P543" s="1575"/>
      <c r="Q543" s="1575">
        <v>0</v>
      </c>
      <c r="R543" s="1575"/>
      <c r="S543" s="1575"/>
      <c r="T543" s="1575"/>
      <c r="U543" s="1575"/>
    </row>
    <row r="544" spans="1:21" ht="10.9" customHeight="1">
      <c r="A544" s="1574" t="s">
        <v>1322</v>
      </c>
      <c r="B544" s="1574"/>
      <c r="C544" s="1574" t="s">
        <v>1534</v>
      </c>
      <c r="D544" s="1574"/>
      <c r="E544" s="1574"/>
      <c r="F544" s="1574" t="s">
        <v>2166</v>
      </c>
      <c r="G544" s="1574"/>
      <c r="H544" s="1574"/>
      <c r="I544" s="1574"/>
      <c r="J544" s="1412">
        <v>3983.26</v>
      </c>
      <c r="K544" s="1412">
        <v>0</v>
      </c>
      <c r="L544" s="1412">
        <v>3946.75</v>
      </c>
      <c r="M544" s="1575">
        <v>7930.01</v>
      </c>
      <c r="N544" s="1575"/>
      <c r="O544" s="1575">
        <v>0</v>
      </c>
      <c r="P544" s="1575"/>
      <c r="Q544" s="1575">
        <v>0</v>
      </c>
      <c r="R544" s="1575"/>
      <c r="S544" s="1575"/>
      <c r="T544" s="1575"/>
      <c r="U544" s="1575"/>
    </row>
    <row r="545" spans="1:23" ht="10.9" customHeight="1">
      <c r="A545" s="1574" t="s">
        <v>1322</v>
      </c>
      <c r="B545" s="1574"/>
      <c r="C545" s="1574" t="s">
        <v>2900</v>
      </c>
      <c r="D545" s="1574"/>
      <c r="E545" s="1574"/>
      <c r="F545" s="1574" t="s">
        <v>2901</v>
      </c>
      <c r="G545" s="1574"/>
      <c r="H545" s="1574"/>
      <c r="I545" s="1574"/>
      <c r="J545" s="1412">
        <v>0</v>
      </c>
      <c r="K545" s="1412">
        <v>0</v>
      </c>
      <c r="L545" s="1412">
        <v>1903.15</v>
      </c>
      <c r="M545" s="1575">
        <v>1903.15</v>
      </c>
      <c r="N545" s="1575"/>
      <c r="O545" s="1575">
        <v>0</v>
      </c>
      <c r="P545" s="1575"/>
      <c r="Q545" s="1575">
        <v>0</v>
      </c>
      <c r="R545" s="1575"/>
      <c r="S545" s="1575"/>
      <c r="T545" s="1575"/>
      <c r="U545" s="1575"/>
    </row>
    <row r="546" spans="1:23" ht="10.9" customHeight="1">
      <c r="A546" s="1574" t="s">
        <v>1322</v>
      </c>
      <c r="B546" s="1574"/>
      <c r="C546" s="1574" t="s">
        <v>5673</v>
      </c>
      <c r="D546" s="1574"/>
      <c r="E546" s="1574"/>
      <c r="F546" s="1574" t="s">
        <v>5674</v>
      </c>
      <c r="G546" s="1574"/>
      <c r="H546" s="1574"/>
      <c r="I546" s="1574"/>
      <c r="J546" s="1412">
        <v>0</v>
      </c>
      <c r="K546" s="1412">
        <v>0</v>
      </c>
      <c r="L546" s="1412">
        <v>32880.660000000003</v>
      </c>
      <c r="M546" s="1575">
        <v>32880.660000000003</v>
      </c>
      <c r="N546" s="1575"/>
      <c r="O546" s="1575">
        <v>0</v>
      </c>
      <c r="P546" s="1575"/>
      <c r="Q546" s="1575">
        <v>0</v>
      </c>
      <c r="R546" s="1575"/>
      <c r="S546" s="1575"/>
      <c r="T546" s="1575"/>
      <c r="U546" s="1575"/>
    </row>
    <row r="547" spans="1:23" ht="10.9" customHeight="1">
      <c r="A547" s="1574" t="s">
        <v>1322</v>
      </c>
      <c r="B547" s="1574"/>
      <c r="C547" s="1574" t="s">
        <v>5959</v>
      </c>
      <c r="D547" s="1574"/>
      <c r="E547" s="1574"/>
      <c r="F547" s="1574" t="s">
        <v>5960</v>
      </c>
      <c r="G547" s="1574"/>
      <c r="H547" s="1574"/>
      <c r="I547" s="1574"/>
      <c r="J547" s="1412">
        <v>4752.13</v>
      </c>
      <c r="K547" s="1412">
        <v>0</v>
      </c>
      <c r="L547" s="1412">
        <v>1580.24</v>
      </c>
      <c r="M547" s="1575">
        <v>0</v>
      </c>
      <c r="N547" s="1575"/>
      <c r="O547" s="1575">
        <v>6332.37</v>
      </c>
      <c r="P547" s="1575"/>
      <c r="Q547" s="1575">
        <v>0</v>
      </c>
      <c r="R547" s="1575"/>
      <c r="S547" s="1575"/>
      <c r="T547" s="1575"/>
      <c r="U547" s="1575"/>
    </row>
    <row r="548" spans="1:23" ht="10.9" customHeight="1">
      <c r="A548" s="1574" t="s">
        <v>1322</v>
      </c>
      <c r="B548" s="1574"/>
      <c r="C548" s="1574" t="s">
        <v>5961</v>
      </c>
      <c r="D548" s="1574"/>
      <c r="E548" s="1574"/>
      <c r="F548" s="1574" t="s">
        <v>5962</v>
      </c>
      <c r="G548" s="1574"/>
      <c r="H548" s="1574"/>
      <c r="I548" s="1574"/>
      <c r="J548" s="1412">
        <v>15591.2</v>
      </c>
      <c r="K548" s="1412">
        <v>0</v>
      </c>
      <c r="L548" s="1412">
        <v>1580.24</v>
      </c>
      <c r="M548" s="1575">
        <v>0</v>
      </c>
      <c r="N548" s="1575"/>
      <c r="O548" s="1575">
        <v>17171.439999999999</v>
      </c>
      <c r="P548" s="1575"/>
      <c r="Q548" s="1575">
        <v>0</v>
      </c>
      <c r="R548" s="1575"/>
      <c r="S548" s="1575"/>
      <c r="T548" s="1575"/>
      <c r="U548" s="1575"/>
    </row>
    <row r="549" spans="1:23" ht="27.2" customHeight="1">
      <c r="A549" s="1574" t="s">
        <v>1322</v>
      </c>
      <c r="B549" s="1574"/>
      <c r="C549" s="1574" t="s">
        <v>2990</v>
      </c>
      <c r="D549" s="1574"/>
      <c r="E549" s="1574"/>
      <c r="F549" s="1574" t="s">
        <v>2991</v>
      </c>
      <c r="G549" s="1574"/>
      <c r="H549" s="1574"/>
      <c r="I549" s="1574"/>
      <c r="J549" s="1412">
        <v>0</v>
      </c>
      <c r="K549" s="1412">
        <v>0</v>
      </c>
      <c r="L549" s="1412">
        <v>6935386.7800000003</v>
      </c>
      <c r="M549" s="1575">
        <v>6935386.7800000003</v>
      </c>
      <c r="N549" s="1575"/>
      <c r="O549" s="1575">
        <v>0</v>
      </c>
      <c r="P549" s="1575"/>
      <c r="Q549" s="1575">
        <v>0</v>
      </c>
      <c r="R549" s="1575"/>
      <c r="S549" s="1575"/>
      <c r="T549" s="1575"/>
      <c r="U549" s="1575"/>
    </row>
    <row r="550" spans="1:23" ht="10.9" customHeight="1">
      <c r="A550" s="1574" t="s">
        <v>1322</v>
      </c>
      <c r="B550" s="1574"/>
      <c r="C550" s="1574" t="s">
        <v>4090</v>
      </c>
      <c r="D550" s="1574"/>
      <c r="E550" s="1574"/>
      <c r="F550" s="1574" t="s">
        <v>91</v>
      </c>
      <c r="G550" s="1574"/>
      <c r="H550" s="1574"/>
      <c r="I550" s="1574"/>
      <c r="J550" s="1412">
        <v>0</v>
      </c>
      <c r="K550" s="1412">
        <v>0</v>
      </c>
      <c r="L550" s="1412">
        <v>817191.3</v>
      </c>
      <c r="M550" s="1575">
        <v>817191.3</v>
      </c>
      <c r="N550" s="1575"/>
      <c r="O550" s="1575">
        <v>0</v>
      </c>
      <c r="P550" s="1575"/>
      <c r="Q550" s="1575">
        <v>0</v>
      </c>
      <c r="R550" s="1575"/>
      <c r="S550" s="1575"/>
      <c r="T550" s="1575"/>
      <c r="U550" s="1575"/>
    </row>
    <row r="551" spans="1:23" ht="19.149999999999999" customHeight="1">
      <c r="A551" s="1574" t="s">
        <v>1322</v>
      </c>
      <c r="B551" s="1574"/>
      <c r="C551" s="1574" t="s">
        <v>2992</v>
      </c>
      <c r="D551" s="1574"/>
      <c r="E551" s="1574"/>
      <c r="F551" s="1574" t="s">
        <v>2993</v>
      </c>
      <c r="G551" s="1574"/>
      <c r="H551" s="1574"/>
      <c r="I551" s="1574"/>
      <c r="J551" s="1412">
        <v>0</v>
      </c>
      <c r="K551" s="1412">
        <v>0</v>
      </c>
      <c r="L551" s="1412">
        <v>817191.3</v>
      </c>
      <c r="M551" s="1575">
        <v>817191.3</v>
      </c>
      <c r="N551" s="1575"/>
      <c r="O551" s="1575">
        <v>0</v>
      </c>
      <c r="P551" s="1575"/>
      <c r="Q551" s="1575">
        <v>0</v>
      </c>
      <c r="R551" s="1575"/>
      <c r="S551" s="1575"/>
      <c r="T551" s="1575"/>
      <c r="U551" s="1575"/>
    </row>
    <row r="552" spans="1:23" ht="10.9" customHeight="1">
      <c r="A552" s="1574" t="s">
        <v>1322</v>
      </c>
      <c r="B552" s="1574"/>
      <c r="C552" s="1574" t="s">
        <v>2994</v>
      </c>
      <c r="D552" s="1574"/>
      <c r="E552" s="1574"/>
      <c r="F552" s="1574" t="s">
        <v>2995</v>
      </c>
      <c r="G552" s="1574"/>
      <c r="H552" s="1574"/>
      <c r="I552" s="1574"/>
      <c r="J552" s="1412">
        <v>0</v>
      </c>
      <c r="K552" s="1412">
        <v>0</v>
      </c>
      <c r="L552" s="1412">
        <v>0</v>
      </c>
      <c r="M552" s="1575">
        <v>0</v>
      </c>
      <c r="N552" s="1575"/>
      <c r="O552" s="1575">
        <v>0</v>
      </c>
      <c r="P552" s="1575"/>
      <c r="Q552" s="1575">
        <v>0</v>
      </c>
      <c r="R552" s="1575"/>
      <c r="S552" s="1575"/>
      <c r="T552" s="1575"/>
      <c r="U552" s="1575"/>
    </row>
    <row r="553" spans="1:23" ht="10.9" customHeight="1">
      <c r="A553" s="1574" t="s">
        <v>1322</v>
      </c>
      <c r="B553" s="1574"/>
      <c r="C553" s="1574" t="s">
        <v>1535</v>
      </c>
      <c r="D553" s="1574"/>
      <c r="E553" s="1574"/>
      <c r="F553" s="1574" t="s">
        <v>1536</v>
      </c>
      <c r="G553" s="1574"/>
      <c r="H553" s="1574"/>
      <c r="I553" s="1574"/>
      <c r="J553" s="1412">
        <v>233364.87</v>
      </c>
      <c r="K553" s="1412">
        <v>0</v>
      </c>
      <c r="L553" s="1412">
        <v>22982.73</v>
      </c>
      <c r="M553" s="1575">
        <v>229968.45</v>
      </c>
      <c r="N553" s="1575"/>
      <c r="O553" s="1575">
        <v>26379.15</v>
      </c>
      <c r="P553" s="1575"/>
      <c r="Q553" s="1575">
        <v>0</v>
      </c>
      <c r="R553" s="1575"/>
      <c r="S553" s="1575"/>
      <c r="T553" s="1575"/>
      <c r="U553" s="1575"/>
    </row>
    <row r="554" spans="1:23" ht="10.9" customHeight="1">
      <c r="A554" s="1574" t="s">
        <v>1322</v>
      </c>
      <c r="B554" s="1574"/>
      <c r="C554" s="1574" t="s">
        <v>4089</v>
      </c>
      <c r="D554" s="1574"/>
      <c r="E554" s="1574"/>
      <c r="F554" s="1574" t="s">
        <v>4091</v>
      </c>
      <c r="G554" s="1574"/>
      <c r="H554" s="1574"/>
      <c r="I554" s="1574"/>
      <c r="J554" s="1412">
        <v>0</v>
      </c>
      <c r="K554" s="1412">
        <v>0</v>
      </c>
      <c r="L554" s="1412">
        <v>0</v>
      </c>
      <c r="M554" s="1575">
        <v>0</v>
      </c>
      <c r="N554" s="1575"/>
      <c r="O554" s="1575">
        <v>0</v>
      </c>
      <c r="P554" s="1575"/>
      <c r="Q554" s="1575">
        <v>0</v>
      </c>
      <c r="R554" s="1575"/>
      <c r="S554" s="1575"/>
      <c r="T554" s="1575"/>
      <c r="U554" s="1575"/>
    </row>
    <row r="555" spans="1:23" ht="10.9" customHeight="1">
      <c r="A555" s="1574" t="s">
        <v>1322</v>
      </c>
      <c r="B555" s="1574"/>
      <c r="C555" s="1574" t="s">
        <v>1537</v>
      </c>
      <c r="D555" s="1574"/>
      <c r="E555" s="1574"/>
      <c r="F555" s="1574" t="s">
        <v>2167</v>
      </c>
      <c r="G555" s="1574"/>
      <c r="H555" s="1574"/>
      <c r="I555" s="1574"/>
      <c r="J555" s="1412">
        <v>0</v>
      </c>
      <c r="K555" s="1412">
        <v>0</v>
      </c>
      <c r="L555" s="1412">
        <v>22982.73</v>
      </c>
      <c r="M555" s="1575">
        <v>11901.65</v>
      </c>
      <c r="N555" s="1575"/>
      <c r="O555" s="1575">
        <v>11081.08</v>
      </c>
      <c r="P555" s="1575"/>
      <c r="Q555" s="1575">
        <v>0</v>
      </c>
      <c r="R555" s="1575"/>
      <c r="S555" s="1575"/>
      <c r="T555" s="1575"/>
      <c r="U555" s="1575"/>
    </row>
    <row r="556" spans="1:23" ht="10.9" customHeight="1">
      <c r="A556" s="1574" t="s">
        <v>1322</v>
      </c>
      <c r="B556" s="1574"/>
      <c r="C556" s="1574" t="s">
        <v>1783</v>
      </c>
      <c r="D556" s="1574"/>
      <c r="E556" s="1574"/>
      <c r="F556" s="1574" t="s">
        <v>2168</v>
      </c>
      <c r="G556" s="1574"/>
      <c r="H556" s="1574"/>
      <c r="I556" s="1574"/>
      <c r="J556" s="1412">
        <v>218066.8</v>
      </c>
      <c r="K556" s="1412">
        <v>0</v>
      </c>
      <c r="L556" s="1412">
        <v>0</v>
      </c>
      <c r="M556" s="1575">
        <v>218066.8</v>
      </c>
      <c r="N556" s="1575"/>
      <c r="O556" s="1575">
        <v>0</v>
      </c>
      <c r="P556" s="1575"/>
      <c r="Q556" s="1575">
        <v>0</v>
      </c>
      <c r="R556" s="1575"/>
      <c r="S556" s="1575"/>
      <c r="T556" s="1575"/>
      <c r="U556" s="1575"/>
    </row>
    <row r="557" spans="1:23" ht="8.65" customHeight="1"/>
    <row r="558" spans="1:23" ht="14.1" customHeight="1">
      <c r="S558" s="1573" t="s">
        <v>2272</v>
      </c>
      <c r="T558" s="1573"/>
      <c r="U558" s="1573"/>
      <c r="V558" s="1573"/>
      <c r="W558" s="1573"/>
    </row>
    <row r="559" spans="1:23" ht="7.15" customHeight="1">
      <c r="C559" s="1586" t="s">
        <v>2987</v>
      </c>
      <c r="D559" s="1586"/>
      <c r="E559" s="1586"/>
      <c r="F559" s="1586"/>
      <c r="G559" s="1586"/>
      <c r="H559" s="1586"/>
      <c r="I559" s="1586"/>
      <c r="J559" s="1586"/>
      <c r="K559" s="1586"/>
      <c r="L559" s="1586"/>
      <c r="M559" s="1586"/>
      <c r="N559" s="1586"/>
      <c r="O559" s="1586"/>
      <c r="P559" s="1586"/>
      <c r="Q559" s="1586"/>
      <c r="R559" s="1586"/>
      <c r="S559" s="1586"/>
      <c r="T559" s="1586"/>
    </row>
    <row r="560" spans="1:23" ht="9.6" customHeight="1">
      <c r="A560" s="1587"/>
      <c r="B560" s="1587"/>
      <c r="C560" s="1587"/>
      <c r="D560" s="1587"/>
      <c r="E560" s="1587"/>
      <c r="F560" s="1587"/>
      <c r="G560" s="1586"/>
      <c r="H560" s="1586"/>
      <c r="I560" s="1586"/>
      <c r="J560" s="1586"/>
      <c r="K560" s="1586"/>
      <c r="L560" s="1586"/>
      <c r="M560" s="1586"/>
      <c r="N560" s="1586"/>
      <c r="O560" s="1586"/>
      <c r="P560" s="1586"/>
      <c r="Q560" s="1586"/>
      <c r="R560" s="1586"/>
      <c r="S560" s="1586"/>
      <c r="T560" s="1586"/>
    </row>
    <row r="561" spans="1:23" ht="13.35" customHeight="1">
      <c r="A561" s="1587"/>
      <c r="B561" s="1587"/>
      <c r="C561" s="1587"/>
      <c r="D561" s="1587"/>
      <c r="E561" s="1587"/>
      <c r="F561" s="1587"/>
      <c r="G561" s="1588" t="s">
        <v>79</v>
      </c>
      <c r="H561" s="1588"/>
      <c r="I561" s="1588"/>
      <c r="J561" s="1588"/>
      <c r="K561" s="1588"/>
      <c r="L561" s="1588"/>
      <c r="M561" s="1588"/>
      <c r="N561" s="1588"/>
      <c r="O561" s="1588"/>
      <c r="P561" s="1588"/>
      <c r="Q561" s="1588"/>
      <c r="R561" s="1588"/>
    </row>
    <row r="562" spans="1:23" ht="5.25" customHeight="1">
      <c r="A562" s="1587"/>
      <c r="B562" s="1587"/>
      <c r="C562" s="1587"/>
      <c r="D562" s="1587"/>
      <c r="E562" s="1587"/>
      <c r="F562" s="1587"/>
      <c r="G562" s="1581" t="s">
        <v>7015</v>
      </c>
      <c r="H562" s="1581"/>
      <c r="I562" s="1581"/>
      <c r="J562" s="1581"/>
      <c r="K562" s="1581"/>
      <c r="L562" s="1581"/>
      <c r="M562" s="1581"/>
      <c r="N562" s="1581"/>
      <c r="O562" s="1581"/>
      <c r="P562" s="1581"/>
      <c r="Q562" s="1581"/>
    </row>
    <row r="563" spans="1:23" ht="8.1" customHeight="1">
      <c r="B563" s="1580" t="s">
        <v>1916</v>
      </c>
      <c r="C563" s="1580"/>
      <c r="D563" s="1580"/>
      <c r="E563" s="1580"/>
      <c r="F563" s="1580"/>
      <c r="G563" s="1580"/>
      <c r="H563" s="1581"/>
      <c r="I563" s="1581"/>
      <c r="J563" s="1581"/>
      <c r="K563" s="1581"/>
      <c r="L563" s="1581"/>
      <c r="M563" s="1581"/>
      <c r="N563" s="1582" t="s">
        <v>5619</v>
      </c>
      <c r="O563" s="1582"/>
      <c r="P563" s="1582"/>
      <c r="Q563" s="1582"/>
      <c r="R563" s="1582"/>
      <c r="S563" s="1582"/>
      <c r="T563" s="1583" t="s">
        <v>7016</v>
      </c>
      <c r="U563" s="1583"/>
      <c r="V563" s="1583"/>
      <c r="W563" s="1583"/>
    </row>
    <row r="564" spans="1:23" ht="6" customHeight="1">
      <c r="B564" s="1580"/>
      <c r="C564" s="1580"/>
      <c r="D564" s="1580"/>
      <c r="E564" s="1580"/>
      <c r="F564" s="1580"/>
      <c r="G564" s="1580"/>
      <c r="H564" s="1584" t="s">
        <v>7017</v>
      </c>
      <c r="I564" s="1584"/>
      <c r="J564" s="1584"/>
      <c r="K564" s="1584"/>
      <c r="L564" s="1584"/>
      <c r="M564" s="1584"/>
      <c r="N564" s="1582"/>
      <c r="O564" s="1582"/>
      <c r="P564" s="1582"/>
      <c r="Q564" s="1582"/>
      <c r="R564" s="1582"/>
      <c r="S564" s="1582"/>
      <c r="T564" s="1583"/>
      <c r="U564" s="1583"/>
      <c r="V564" s="1583"/>
      <c r="W564" s="1583"/>
    </row>
    <row r="565" spans="1:23" ht="7.35" customHeight="1">
      <c r="B565" s="1580" t="s">
        <v>1994</v>
      </c>
      <c r="C565" s="1580"/>
      <c r="D565" s="1580"/>
      <c r="E565" s="1585"/>
      <c r="F565" s="1585"/>
      <c r="G565" s="1585"/>
      <c r="H565" s="1585"/>
      <c r="I565" s="1585"/>
      <c r="J565" s="1585"/>
      <c r="K565" s="1585"/>
      <c r="L565" s="1585"/>
      <c r="M565" s="1585"/>
      <c r="N565" s="1585"/>
      <c r="O565" s="1585"/>
      <c r="P565" s="1585"/>
      <c r="Q565" s="1585"/>
      <c r="R565" s="1582"/>
      <c r="S565" s="1582"/>
      <c r="T565" s="1582" t="s">
        <v>7018</v>
      </c>
      <c r="U565" s="1582"/>
    </row>
    <row r="566" spans="1:23" ht="6.75" customHeight="1">
      <c r="E566" s="1585"/>
      <c r="F566" s="1585"/>
      <c r="G566" s="1585"/>
      <c r="H566" s="1585"/>
      <c r="I566" s="1585"/>
      <c r="J566" s="1585"/>
      <c r="K566" s="1585"/>
      <c r="L566" s="1585"/>
      <c r="M566" s="1585"/>
      <c r="N566" s="1585"/>
      <c r="O566" s="1585"/>
      <c r="P566" s="1585"/>
      <c r="Q566" s="1585"/>
      <c r="R566" s="1582"/>
      <c r="S566" s="1582"/>
      <c r="T566" s="1582"/>
      <c r="U566" s="1582"/>
    </row>
    <row r="567" spans="1:23" ht="10.9" customHeight="1">
      <c r="A567" s="1576"/>
      <c r="B567" s="1576"/>
      <c r="C567" s="1576"/>
      <c r="D567" s="1576"/>
      <c r="E567" s="1576"/>
      <c r="F567" s="1576"/>
      <c r="G567" s="1576"/>
      <c r="H567" s="1576"/>
      <c r="I567" s="1576"/>
      <c r="J567" s="1577" t="s">
        <v>1314</v>
      </c>
      <c r="K567" s="1577"/>
      <c r="L567" s="1577" t="s">
        <v>1315</v>
      </c>
      <c r="M567" s="1577"/>
      <c r="N567" s="1577"/>
      <c r="O567" s="1577" t="s">
        <v>1316</v>
      </c>
      <c r="P567" s="1577"/>
      <c r="Q567" s="1577"/>
      <c r="R567" s="1577"/>
      <c r="S567" s="1577"/>
      <c r="T567" s="1577"/>
      <c r="U567" s="1577"/>
    </row>
    <row r="568" spans="1:23" ht="14.1" customHeight="1">
      <c r="A568" s="1578" t="s">
        <v>1317</v>
      </c>
      <c r="B568" s="1578"/>
      <c r="C568" s="1578" t="s">
        <v>1318</v>
      </c>
      <c r="D568" s="1578"/>
      <c r="E568" s="1578"/>
      <c r="F568" s="1578" t="s">
        <v>1319</v>
      </c>
      <c r="G568" s="1578"/>
      <c r="H568" s="1578"/>
      <c r="I568" s="1578"/>
      <c r="J568" s="1413" t="s">
        <v>1320</v>
      </c>
      <c r="K568" s="1413" t="s">
        <v>1321</v>
      </c>
      <c r="L568" s="1413" t="s">
        <v>1320</v>
      </c>
      <c r="M568" s="1579" t="s">
        <v>1321</v>
      </c>
      <c r="N568" s="1579"/>
      <c r="O568" s="1579" t="s">
        <v>1320</v>
      </c>
      <c r="P568" s="1579"/>
      <c r="Q568" s="1579" t="s">
        <v>1321</v>
      </c>
      <c r="R568" s="1579"/>
      <c r="S568" s="1579"/>
      <c r="T568" s="1579"/>
      <c r="U568" s="1579"/>
    </row>
    <row r="569" spans="1:23" ht="14.1" customHeight="1">
      <c r="A569" s="1574" t="s">
        <v>1322</v>
      </c>
      <c r="B569" s="1574"/>
      <c r="C569" s="1574" t="s">
        <v>3241</v>
      </c>
      <c r="D569" s="1574"/>
      <c r="E569" s="1574"/>
      <c r="F569" s="1574" t="s">
        <v>3246</v>
      </c>
      <c r="G569" s="1574"/>
      <c r="H569" s="1574"/>
      <c r="I569" s="1574"/>
      <c r="J569" s="1412">
        <v>0</v>
      </c>
      <c r="K569" s="1412">
        <v>0</v>
      </c>
      <c r="L569" s="1412">
        <v>0</v>
      </c>
      <c r="M569" s="1575">
        <v>0</v>
      </c>
      <c r="N569" s="1575"/>
      <c r="O569" s="1575">
        <v>0</v>
      </c>
      <c r="P569" s="1575"/>
      <c r="Q569" s="1575">
        <v>0</v>
      </c>
      <c r="R569" s="1575"/>
      <c r="S569" s="1575"/>
      <c r="T569" s="1575"/>
      <c r="U569" s="1575"/>
    </row>
    <row r="570" spans="1:23" ht="10.9" customHeight="1">
      <c r="A570" s="1574" t="s">
        <v>1322</v>
      </c>
      <c r="B570" s="1574"/>
      <c r="C570" s="1574" t="s">
        <v>5319</v>
      </c>
      <c r="D570" s="1574"/>
      <c r="E570" s="1574"/>
      <c r="F570" s="1574" t="s">
        <v>5320</v>
      </c>
      <c r="G570" s="1574"/>
      <c r="H570" s="1574"/>
      <c r="I570" s="1574"/>
      <c r="J570" s="1412">
        <v>15298.07</v>
      </c>
      <c r="K570" s="1412">
        <v>0</v>
      </c>
      <c r="L570" s="1412">
        <v>0</v>
      </c>
      <c r="M570" s="1575">
        <v>0</v>
      </c>
      <c r="N570" s="1575"/>
      <c r="O570" s="1575">
        <v>15298.07</v>
      </c>
      <c r="P570" s="1575"/>
      <c r="Q570" s="1575">
        <v>0</v>
      </c>
      <c r="R570" s="1575"/>
      <c r="S570" s="1575"/>
      <c r="T570" s="1575"/>
      <c r="U570" s="1575"/>
    </row>
    <row r="571" spans="1:23" ht="10.9" customHeight="1">
      <c r="A571" s="1574" t="s">
        <v>1322</v>
      </c>
      <c r="B571" s="1574"/>
      <c r="C571" s="1574" t="s">
        <v>1538</v>
      </c>
      <c r="D571" s="1574"/>
      <c r="E571" s="1574"/>
      <c r="F571" s="1574" t="s">
        <v>212</v>
      </c>
      <c r="G571" s="1574"/>
      <c r="H571" s="1574"/>
      <c r="I571" s="1574"/>
      <c r="J571" s="1412">
        <v>4235861.3099999996</v>
      </c>
      <c r="K571" s="1412">
        <v>0</v>
      </c>
      <c r="L571" s="1412">
        <v>1244335.3700000001</v>
      </c>
      <c r="M571" s="1575">
        <v>1280297.3</v>
      </c>
      <c r="N571" s="1575"/>
      <c r="O571" s="1575">
        <v>4199899.38</v>
      </c>
      <c r="P571" s="1575"/>
      <c r="Q571" s="1575">
        <v>0</v>
      </c>
      <c r="R571" s="1575"/>
      <c r="S571" s="1575"/>
      <c r="T571" s="1575"/>
      <c r="U571" s="1575"/>
    </row>
    <row r="572" spans="1:23" ht="10.9" customHeight="1">
      <c r="A572" s="1574" t="s">
        <v>1322</v>
      </c>
      <c r="B572" s="1574"/>
      <c r="C572" s="1574" t="s">
        <v>1539</v>
      </c>
      <c r="D572" s="1574"/>
      <c r="E572" s="1574"/>
      <c r="F572" s="1574" t="s">
        <v>2169</v>
      </c>
      <c r="G572" s="1574"/>
      <c r="H572" s="1574"/>
      <c r="I572" s="1574"/>
      <c r="J572" s="1412">
        <v>0</v>
      </c>
      <c r="K572" s="1412">
        <v>0</v>
      </c>
      <c r="L572" s="1412">
        <v>1042140.74</v>
      </c>
      <c r="M572" s="1575">
        <v>1042140.74</v>
      </c>
      <c r="N572" s="1575"/>
      <c r="O572" s="1575">
        <v>0</v>
      </c>
      <c r="P572" s="1575"/>
      <c r="Q572" s="1575">
        <v>0</v>
      </c>
      <c r="R572" s="1575"/>
      <c r="S572" s="1575"/>
      <c r="T572" s="1575"/>
      <c r="U572" s="1575"/>
    </row>
    <row r="573" spans="1:23" ht="10.9" customHeight="1">
      <c r="A573" s="1574" t="s">
        <v>1322</v>
      </c>
      <c r="B573" s="1574"/>
      <c r="C573" s="1574" t="s">
        <v>1540</v>
      </c>
      <c r="D573" s="1574"/>
      <c r="E573" s="1574"/>
      <c r="F573" s="1574" t="s">
        <v>2170</v>
      </c>
      <c r="G573" s="1574"/>
      <c r="H573" s="1574"/>
      <c r="I573" s="1574"/>
      <c r="J573" s="1412">
        <v>0</v>
      </c>
      <c r="K573" s="1412">
        <v>0</v>
      </c>
      <c r="L573" s="1412">
        <v>122215.38</v>
      </c>
      <c r="M573" s="1575">
        <v>122215.38</v>
      </c>
      <c r="N573" s="1575"/>
      <c r="O573" s="1575">
        <v>0</v>
      </c>
      <c r="P573" s="1575"/>
      <c r="Q573" s="1575">
        <v>0</v>
      </c>
      <c r="R573" s="1575"/>
      <c r="S573" s="1575"/>
      <c r="T573" s="1575"/>
      <c r="U573" s="1575"/>
    </row>
    <row r="574" spans="1:23" ht="10.9" customHeight="1">
      <c r="A574" s="1574" t="s">
        <v>1322</v>
      </c>
      <c r="B574" s="1574"/>
      <c r="C574" s="1574" t="s">
        <v>1541</v>
      </c>
      <c r="D574" s="1574"/>
      <c r="E574" s="1574"/>
      <c r="F574" s="1574" t="s">
        <v>2171</v>
      </c>
      <c r="G574" s="1574"/>
      <c r="H574" s="1574"/>
      <c r="I574" s="1574"/>
      <c r="J574" s="1412">
        <v>7300.62</v>
      </c>
      <c r="K574" s="1412">
        <v>0</v>
      </c>
      <c r="L574" s="1412">
        <v>77172.39</v>
      </c>
      <c r="M574" s="1575">
        <v>7300.62</v>
      </c>
      <c r="N574" s="1575"/>
      <c r="O574" s="1575">
        <v>77172.39</v>
      </c>
      <c r="P574" s="1575"/>
      <c r="Q574" s="1575">
        <v>0</v>
      </c>
      <c r="R574" s="1575"/>
      <c r="S574" s="1575"/>
      <c r="T574" s="1575"/>
      <c r="U574" s="1575"/>
    </row>
    <row r="575" spans="1:23" ht="10.9" customHeight="1">
      <c r="A575" s="1574" t="s">
        <v>1322</v>
      </c>
      <c r="B575" s="1574"/>
      <c r="C575" s="1574" t="s">
        <v>1542</v>
      </c>
      <c r="D575" s="1574"/>
      <c r="E575" s="1574"/>
      <c r="F575" s="1574" t="s">
        <v>2172</v>
      </c>
      <c r="G575" s="1574"/>
      <c r="H575" s="1574"/>
      <c r="I575" s="1574"/>
      <c r="J575" s="1412">
        <v>12162.54</v>
      </c>
      <c r="K575" s="1412">
        <v>0</v>
      </c>
      <c r="L575" s="1412">
        <v>2806.86</v>
      </c>
      <c r="M575" s="1575">
        <v>12162.54</v>
      </c>
      <c r="N575" s="1575"/>
      <c r="O575" s="1575">
        <v>2806.86</v>
      </c>
      <c r="P575" s="1575"/>
      <c r="Q575" s="1575">
        <v>0</v>
      </c>
      <c r="R575" s="1575"/>
      <c r="S575" s="1575"/>
      <c r="T575" s="1575"/>
      <c r="U575" s="1575"/>
    </row>
    <row r="576" spans="1:23" ht="10.9" customHeight="1">
      <c r="A576" s="1574" t="s">
        <v>1322</v>
      </c>
      <c r="B576" s="1574"/>
      <c r="C576" s="1574" t="s">
        <v>3247</v>
      </c>
      <c r="D576" s="1574"/>
      <c r="E576" s="1574"/>
      <c r="F576" s="1574" t="s">
        <v>3248</v>
      </c>
      <c r="G576" s="1574"/>
      <c r="H576" s="1574"/>
      <c r="I576" s="1574"/>
      <c r="J576" s="1412">
        <v>0</v>
      </c>
      <c r="K576" s="1412">
        <v>0</v>
      </c>
      <c r="L576" s="1412">
        <v>0</v>
      </c>
      <c r="M576" s="1575">
        <v>0</v>
      </c>
      <c r="N576" s="1575"/>
      <c r="O576" s="1575">
        <v>0</v>
      </c>
      <c r="P576" s="1575"/>
      <c r="Q576" s="1575">
        <v>0</v>
      </c>
      <c r="R576" s="1575"/>
      <c r="S576" s="1575"/>
      <c r="T576" s="1575"/>
      <c r="U576" s="1575"/>
    </row>
    <row r="577" spans="1:21" ht="10.9" customHeight="1">
      <c r="A577" s="1574" t="s">
        <v>1322</v>
      </c>
      <c r="B577" s="1574"/>
      <c r="C577" s="1574" t="s">
        <v>3269</v>
      </c>
      <c r="D577" s="1574"/>
      <c r="E577" s="1574"/>
      <c r="F577" s="1574" t="s">
        <v>3270</v>
      </c>
      <c r="G577" s="1574"/>
      <c r="H577" s="1574"/>
      <c r="I577" s="1574"/>
      <c r="J577" s="1412">
        <v>0</v>
      </c>
      <c r="K577" s="1412">
        <v>0</v>
      </c>
      <c r="L577" s="1412">
        <v>0</v>
      </c>
      <c r="M577" s="1575">
        <v>0</v>
      </c>
      <c r="N577" s="1575"/>
      <c r="O577" s="1575">
        <v>0</v>
      </c>
      <c r="P577" s="1575"/>
      <c r="Q577" s="1575">
        <v>0</v>
      </c>
      <c r="R577" s="1575"/>
      <c r="S577" s="1575"/>
      <c r="T577" s="1575"/>
      <c r="U577" s="1575"/>
    </row>
    <row r="578" spans="1:21" ht="10.9" customHeight="1">
      <c r="A578" s="1574" t="s">
        <v>1322</v>
      </c>
      <c r="B578" s="1574"/>
      <c r="C578" s="1574" t="s">
        <v>3363</v>
      </c>
      <c r="D578" s="1574"/>
      <c r="E578" s="1574"/>
      <c r="F578" s="1574" t="s">
        <v>3364</v>
      </c>
      <c r="G578" s="1574"/>
      <c r="H578" s="1574"/>
      <c r="I578" s="1574"/>
      <c r="J578" s="1412">
        <v>0</v>
      </c>
      <c r="K578" s="1412">
        <v>0</v>
      </c>
      <c r="L578" s="1412">
        <v>0</v>
      </c>
      <c r="M578" s="1575">
        <v>0</v>
      </c>
      <c r="N578" s="1575"/>
      <c r="O578" s="1575">
        <v>0</v>
      </c>
      <c r="P578" s="1575"/>
      <c r="Q578" s="1575">
        <v>0</v>
      </c>
      <c r="R578" s="1575"/>
      <c r="S578" s="1575"/>
      <c r="T578" s="1575"/>
      <c r="U578" s="1575"/>
    </row>
    <row r="579" spans="1:21" ht="10.9" customHeight="1">
      <c r="A579" s="1574" t="s">
        <v>1322</v>
      </c>
      <c r="B579" s="1574"/>
      <c r="C579" s="1574" t="s">
        <v>4053</v>
      </c>
      <c r="D579" s="1574"/>
      <c r="E579" s="1574"/>
      <c r="F579" s="1574" t="s">
        <v>4054</v>
      </c>
      <c r="G579" s="1574"/>
      <c r="H579" s="1574"/>
      <c r="I579" s="1574"/>
      <c r="J579" s="1412">
        <v>0</v>
      </c>
      <c r="K579" s="1412">
        <v>0</v>
      </c>
      <c r="L579" s="1412">
        <v>0</v>
      </c>
      <c r="M579" s="1575">
        <v>0</v>
      </c>
      <c r="N579" s="1575"/>
      <c r="O579" s="1575">
        <v>0</v>
      </c>
      <c r="P579" s="1575"/>
      <c r="Q579" s="1575">
        <v>0</v>
      </c>
      <c r="R579" s="1575"/>
      <c r="S579" s="1575"/>
      <c r="T579" s="1575"/>
      <c r="U579" s="1575"/>
    </row>
    <row r="580" spans="1:21" ht="10.9" customHeight="1">
      <c r="A580" s="1574" t="s">
        <v>1322</v>
      </c>
      <c r="B580" s="1574"/>
      <c r="C580" s="1574" t="s">
        <v>4069</v>
      </c>
      <c r="D580" s="1574"/>
      <c r="E580" s="1574"/>
      <c r="F580" s="1574" t="s">
        <v>4070</v>
      </c>
      <c r="G580" s="1574"/>
      <c r="H580" s="1574"/>
      <c r="I580" s="1574"/>
      <c r="J580" s="1412">
        <v>0</v>
      </c>
      <c r="K580" s="1412">
        <v>0</v>
      </c>
      <c r="L580" s="1412">
        <v>0</v>
      </c>
      <c r="M580" s="1575">
        <v>0</v>
      </c>
      <c r="N580" s="1575"/>
      <c r="O580" s="1575">
        <v>0</v>
      </c>
      <c r="P580" s="1575"/>
      <c r="Q580" s="1575">
        <v>0</v>
      </c>
      <c r="R580" s="1575"/>
      <c r="S580" s="1575"/>
      <c r="T580" s="1575"/>
      <c r="U580" s="1575"/>
    </row>
    <row r="581" spans="1:21" ht="10.9" customHeight="1">
      <c r="A581" s="1574" t="s">
        <v>1322</v>
      </c>
      <c r="B581" s="1574"/>
      <c r="C581" s="1574" t="s">
        <v>4092</v>
      </c>
      <c r="D581" s="1574"/>
      <c r="E581" s="1574"/>
      <c r="F581" s="1574" t="s">
        <v>4093</v>
      </c>
      <c r="G581" s="1574"/>
      <c r="H581" s="1574"/>
      <c r="I581" s="1574"/>
      <c r="J581" s="1412">
        <v>0</v>
      </c>
      <c r="K581" s="1412">
        <v>0</v>
      </c>
      <c r="L581" s="1412">
        <v>0</v>
      </c>
      <c r="M581" s="1575">
        <v>0</v>
      </c>
      <c r="N581" s="1575"/>
      <c r="O581" s="1575">
        <v>0</v>
      </c>
      <c r="P581" s="1575"/>
      <c r="Q581" s="1575">
        <v>0</v>
      </c>
      <c r="R581" s="1575"/>
      <c r="S581" s="1575"/>
      <c r="T581" s="1575"/>
      <c r="U581" s="1575"/>
    </row>
    <row r="582" spans="1:21" ht="10.9" customHeight="1">
      <c r="A582" s="1574" t="s">
        <v>1322</v>
      </c>
      <c r="B582" s="1574"/>
      <c r="C582" s="1574" t="s">
        <v>4122</v>
      </c>
      <c r="D582" s="1574"/>
      <c r="E582" s="1574"/>
      <c r="F582" s="1574" t="s">
        <v>4123</v>
      </c>
      <c r="G582" s="1574"/>
      <c r="H582" s="1574"/>
      <c r="I582" s="1574"/>
      <c r="J582" s="1412">
        <v>0</v>
      </c>
      <c r="K582" s="1412">
        <v>0</v>
      </c>
      <c r="L582" s="1412">
        <v>0</v>
      </c>
      <c r="M582" s="1575">
        <v>0</v>
      </c>
      <c r="N582" s="1575"/>
      <c r="O582" s="1575">
        <v>0</v>
      </c>
      <c r="P582" s="1575"/>
      <c r="Q582" s="1575">
        <v>0</v>
      </c>
      <c r="R582" s="1575"/>
      <c r="S582" s="1575"/>
      <c r="T582" s="1575"/>
      <c r="U582" s="1575"/>
    </row>
    <row r="583" spans="1:21" ht="10.9" customHeight="1">
      <c r="A583" s="1574" t="s">
        <v>1322</v>
      </c>
      <c r="B583" s="1574"/>
      <c r="C583" s="1574" t="s">
        <v>5225</v>
      </c>
      <c r="D583" s="1574"/>
      <c r="E583" s="1574"/>
      <c r="F583" s="1574" t="s">
        <v>5226</v>
      </c>
      <c r="G583" s="1574"/>
      <c r="H583" s="1574"/>
      <c r="I583" s="1574"/>
      <c r="J583" s="1412">
        <v>0</v>
      </c>
      <c r="K583" s="1412">
        <v>0</v>
      </c>
      <c r="L583" s="1412">
        <v>0</v>
      </c>
      <c r="M583" s="1575">
        <v>0</v>
      </c>
      <c r="N583" s="1575"/>
      <c r="O583" s="1575">
        <v>0</v>
      </c>
      <c r="P583" s="1575"/>
      <c r="Q583" s="1575">
        <v>0</v>
      </c>
      <c r="R583" s="1575"/>
      <c r="S583" s="1575"/>
      <c r="T583" s="1575"/>
      <c r="U583" s="1575"/>
    </row>
    <row r="584" spans="1:21" ht="10.9" customHeight="1">
      <c r="A584" s="1574" t="s">
        <v>1322</v>
      </c>
      <c r="B584" s="1574"/>
      <c r="C584" s="1574" t="s">
        <v>5321</v>
      </c>
      <c r="D584" s="1574"/>
      <c r="E584" s="1574"/>
      <c r="F584" s="1574" t="s">
        <v>5322</v>
      </c>
      <c r="G584" s="1574"/>
      <c r="H584" s="1574"/>
      <c r="I584" s="1574"/>
      <c r="J584" s="1412">
        <v>408848.47</v>
      </c>
      <c r="K584" s="1412">
        <v>0</v>
      </c>
      <c r="L584" s="1412">
        <v>0</v>
      </c>
      <c r="M584" s="1575">
        <v>96478.02</v>
      </c>
      <c r="N584" s="1575"/>
      <c r="O584" s="1575">
        <v>312370.45</v>
      </c>
      <c r="P584" s="1575"/>
      <c r="Q584" s="1575">
        <v>0</v>
      </c>
      <c r="R584" s="1575"/>
      <c r="S584" s="1575"/>
      <c r="T584" s="1575"/>
      <c r="U584" s="1575"/>
    </row>
    <row r="585" spans="1:21" ht="10.9" customHeight="1">
      <c r="A585" s="1574" t="s">
        <v>1322</v>
      </c>
      <c r="B585" s="1574"/>
      <c r="C585" s="1574" t="s">
        <v>5598</v>
      </c>
      <c r="D585" s="1574"/>
      <c r="E585" s="1574"/>
      <c r="F585" s="1574" t="s">
        <v>5599</v>
      </c>
      <c r="G585" s="1574"/>
      <c r="H585" s="1574"/>
      <c r="I585" s="1574"/>
      <c r="J585" s="1412">
        <v>2197629.87</v>
      </c>
      <c r="K585" s="1412">
        <v>0</v>
      </c>
      <c r="L585" s="1412">
        <v>0</v>
      </c>
      <c r="M585" s="1575">
        <v>0</v>
      </c>
      <c r="N585" s="1575"/>
      <c r="O585" s="1575">
        <v>2197629.87</v>
      </c>
      <c r="P585" s="1575"/>
      <c r="Q585" s="1575">
        <v>0</v>
      </c>
      <c r="R585" s="1575"/>
      <c r="S585" s="1575"/>
      <c r="T585" s="1575"/>
      <c r="U585" s="1575"/>
    </row>
    <row r="586" spans="1:21" ht="10.9" customHeight="1">
      <c r="A586" s="1574" t="s">
        <v>1322</v>
      </c>
      <c r="B586" s="1574"/>
      <c r="C586" s="1574" t="s">
        <v>5675</v>
      </c>
      <c r="D586" s="1574"/>
      <c r="E586" s="1574"/>
      <c r="F586" s="1574" t="s">
        <v>5676</v>
      </c>
      <c r="G586" s="1574"/>
      <c r="H586" s="1574"/>
      <c r="I586" s="1574"/>
      <c r="J586" s="1412">
        <v>150794</v>
      </c>
      <c r="K586" s="1412">
        <v>0</v>
      </c>
      <c r="L586" s="1412">
        <v>0</v>
      </c>
      <c r="M586" s="1575">
        <v>0</v>
      </c>
      <c r="N586" s="1575"/>
      <c r="O586" s="1575">
        <v>150794</v>
      </c>
      <c r="P586" s="1575"/>
      <c r="Q586" s="1575">
        <v>0</v>
      </c>
      <c r="R586" s="1575"/>
      <c r="S586" s="1575"/>
      <c r="T586" s="1575"/>
      <c r="U586" s="1575"/>
    </row>
    <row r="587" spans="1:21" ht="10.9" customHeight="1">
      <c r="A587" s="1574" t="s">
        <v>1322</v>
      </c>
      <c r="B587" s="1574"/>
      <c r="C587" s="1574" t="s">
        <v>5786</v>
      </c>
      <c r="D587" s="1574"/>
      <c r="E587" s="1574"/>
      <c r="F587" s="1574" t="s">
        <v>5787</v>
      </c>
      <c r="G587" s="1574"/>
      <c r="H587" s="1574"/>
      <c r="I587" s="1574"/>
      <c r="J587" s="1412">
        <v>1385347.74</v>
      </c>
      <c r="K587" s="1412">
        <v>0</v>
      </c>
      <c r="L587" s="1412">
        <v>0</v>
      </c>
      <c r="M587" s="1575">
        <v>0</v>
      </c>
      <c r="N587" s="1575"/>
      <c r="O587" s="1575">
        <v>1385347.74</v>
      </c>
      <c r="P587" s="1575"/>
      <c r="Q587" s="1575">
        <v>0</v>
      </c>
      <c r="R587" s="1575"/>
      <c r="S587" s="1575"/>
      <c r="T587" s="1575"/>
      <c r="U587" s="1575"/>
    </row>
    <row r="588" spans="1:21" ht="10.9" customHeight="1">
      <c r="A588" s="1574" t="s">
        <v>1322</v>
      </c>
      <c r="B588" s="1574"/>
      <c r="C588" s="1574" t="s">
        <v>6539</v>
      </c>
      <c r="D588" s="1574"/>
      <c r="E588" s="1574"/>
      <c r="F588" s="1574" t="s">
        <v>6540</v>
      </c>
      <c r="G588" s="1574"/>
      <c r="H588" s="1574"/>
      <c r="I588" s="1574"/>
      <c r="J588" s="1412">
        <v>73778.070000000007</v>
      </c>
      <c r="K588" s="1412">
        <v>0</v>
      </c>
      <c r="L588" s="1412">
        <v>0</v>
      </c>
      <c r="M588" s="1575">
        <v>0</v>
      </c>
      <c r="N588" s="1575"/>
      <c r="O588" s="1575">
        <v>73778.070000000007</v>
      </c>
      <c r="P588" s="1575"/>
      <c r="Q588" s="1575">
        <v>0</v>
      </c>
      <c r="R588" s="1575"/>
      <c r="S588" s="1575"/>
      <c r="T588" s="1575"/>
      <c r="U588" s="1575"/>
    </row>
    <row r="589" spans="1:21" ht="19.149999999999999" customHeight="1">
      <c r="A589" s="1574" t="s">
        <v>1322</v>
      </c>
      <c r="B589" s="1574"/>
      <c r="C589" s="1574" t="s">
        <v>2173</v>
      </c>
      <c r="D589" s="1574"/>
      <c r="E589" s="1574"/>
      <c r="F589" s="1574" t="s">
        <v>2174</v>
      </c>
      <c r="G589" s="1574"/>
      <c r="H589" s="1574"/>
      <c r="I589" s="1574"/>
      <c r="J589" s="1412">
        <v>2100</v>
      </c>
      <c r="K589" s="1412">
        <v>0</v>
      </c>
      <c r="L589" s="1412">
        <v>5500</v>
      </c>
      <c r="M589" s="1575">
        <v>7600</v>
      </c>
      <c r="N589" s="1575"/>
      <c r="O589" s="1575">
        <v>0</v>
      </c>
      <c r="P589" s="1575"/>
      <c r="Q589" s="1575">
        <v>0</v>
      </c>
      <c r="R589" s="1575"/>
      <c r="S589" s="1575"/>
      <c r="T589" s="1575"/>
      <c r="U589" s="1575"/>
    </row>
    <row r="590" spans="1:21" ht="10.9" customHeight="1">
      <c r="A590" s="1574" t="s">
        <v>1322</v>
      </c>
      <c r="B590" s="1574"/>
      <c r="C590" s="1574" t="s">
        <v>6253</v>
      </c>
      <c r="D590" s="1574"/>
      <c r="E590" s="1574"/>
      <c r="F590" s="1574" t="s">
        <v>6264</v>
      </c>
      <c r="G590" s="1574"/>
      <c r="H590" s="1574"/>
      <c r="I590" s="1574"/>
      <c r="J590" s="1412">
        <v>0</v>
      </c>
      <c r="K590" s="1412">
        <v>0</v>
      </c>
      <c r="L590" s="1412">
        <v>4000</v>
      </c>
      <c r="M590" s="1575">
        <v>4000</v>
      </c>
      <c r="N590" s="1575"/>
      <c r="O590" s="1575">
        <v>0</v>
      </c>
      <c r="P590" s="1575"/>
      <c r="Q590" s="1575">
        <v>0</v>
      </c>
      <c r="R590" s="1575"/>
      <c r="S590" s="1575"/>
      <c r="T590" s="1575"/>
      <c r="U590" s="1575"/>
    </row>
    <row r="591" spans="1:21" ht="10.9" customHeight="1">
      <c r="A591" s="1574" t="s">
        <v>1322</v>
      </c>
      <c r="B591" s="1574"/>
      <c r="C591" s="1574" t="s">
        <v>6458</v>
      </c>
      <c r="D591" s="1574"/>
      <c r="E591" s="1574"/>
      <c r="F591" s="1574" t="s">
        <v>6459</v>
      </c>
      <c r="G591" s="1574"/>
      <c r="H591" s="1574"/>
      <c r="I591" s="1574"/>
      <c r="J591" s="1412">
        <v>0</v>
      </c>
      <c r="K591" s="1412">
        <v>0</v>
      </c>
      <c r="L591" s="1412">
        <v>0</v>
      </c>
      <c r="M591" s="1575">
        <v>0</v>
      </c>
      <c r="N591" s="1575"/>
      <c r="O591" s="1575">
        <v>0</v>
      </c>
      <c r="P591" s="1575"/>
      <c r="Q591" s="1575">
        <v>0</v>
      </c>
      <c r="R591" s="1575"/>
      <c r="S591" s="1575"/>
      <c r="T591" s="1575"/>
      <c r="U591" s="1575"/>
    </row>
    <row r="592" spans="1:21" ht="10.9" customHeight="1">
      <c r="A592" s="1574" t="s">
        <v>1322</v>
      </c>
      <c r="B592" s="1574"/>
      <c r="C592" s="1574" t="s">
        <v>5903</v>
      </c>
      <c r="D592" s="1574"/>
      <c r="E592" s="1574"/>
      <c r="F592" s="1574" t="s">
        <v>5909</v>
      </c>
      <c r="G592" s="1574"/>
      <c r="H592" s="1574"/>
      <c r="I592" s="1574"/>
      <c r="J592" s="1412">
        <v>0</v>
      </c>
      <c r="K592" s="1412">
        <v>0</v>
      </c>
      <c r="L592" s="1412">
        <v>0</v>
      </c>
      <c r="M592" s="1575">
        <v>0</v>
      </c>
      <c r="N592" s="1575"/>
      <c r="O592" s="1575">
        <v>0</v>
      </c>
      <c r="P592" s="1575"/>
      <c r="Q592" s="1575">
        <v>0</v>
      </c>
      <c r="R592" s="1575"/>
      <c r="S592" s="1575"/>
      <c r="T592" s="1575"/>
      <c r="U592" s="1575"/>
    </row>
    <row r="593" spans="1:21" ht="10.9" customHeight="1">
      <c r="A593" s="1574" t="s">
        <v>1322</v>
      </c>
      <c r="B593" s="1574"/>
      <c r="C593" s="1574" t="s">
        <v>5904</v>
      </c>
      <c r="D593" s="1574"/>
      <c r="E593" s="1574"/>
      <c r="F593" s="1574" t="s">
        <v>5910</v>
      </c>
      <c r="G593" s="1574"/>
      <c r="H593" s="1574"/>
      <c r="I593" s="1574"/>
      <c r="J593" s="1412">
        <v>0</v>
      </c>
      <c r="K593" s="1412">
        <v>0</v>
      </c>
      <c r="L593" s="1412">
        <v>0</v>
      </c>
      <c r="M593" s="1575">
        <v>0</v>
      </c>
      <c r="N593" s="1575"/>
      <c r="O593" s="1575">
        <v>0</v>
      </c>
      <c r="P593" s="1575"/>
      <c r="Q593" s="1575">
        <v>0</v>
      </c>
      <c r="R593" s="1575"/>
      <c r="S593" s="1575"/>
      <c r="T593" s="1575"/>
      <c r="U593" s="1575"/>
    </row>
    <row r="594" spans="1:21" ht="10.9" customHeight="1">
      <c r="A594" s="1574" t="s">
        <v>1322</v>
      </c>
      <c r="B594" s="1574"/>
      <c r="C594" s="1574" t="s">
        <v>6527</v>
      </c>
      <c r="D594" s="1574"/>
      <c r="E594" s="1574"/>
      <c r="F594" s="1574" t="s">
        <v>6541</v>
      </c>
      <c r="G594" s="1574"/>
      <c r="H594" s="1574"/>
      <c r="I594" s="1574"/>
      <c r="J594" s="1412">
        <v>0</v>
      </c>
      <c r="K594" s="1412">
        <v>0</v>
      </c>
      <c r="L594" s="1412">
        <v>0</v>
      </c>
      <c r="M594" s="1575">
        <v>0</v>
      </c>
      <c r="N594" s="1575"/>
      <c r="O594" s="1575">
        <v>0</v>
      </c>
      <c r="P594" s="1575"/>
      <c r="Q594" s="1575">
        <v>0</v>
      </c>
      <c r="R594" s="1575"/>
      <c r="S594" s="1575"/>
      <c r="T594" s="1575"/>
      <c r="U594" s="1575"/>
    </row>
    <row r="595" spans="1:21" ht="10.9" customHeight="1">
      <c r="A595" s="1574" t="s">
        <v>1322</v>
      </c>
      <c r="B595" s="1574"/>
      <c r="C595" s="1574" t="s">
        <v>3138</v>
      </c>
      <c r="D595" s="1574"/>
      <c r="E595" s="1574"/>
      <c r="F595" s="1574" t="s">
        <v>3147</v>
      </c>
      <c r="G595" s="1574"/>
      <c r="H595" s="1574"/>
      <c r="I595" s="1574"/>
      <c r="J595" s="1412">
        <v>0</v>
      </c>
      <c r="K595" s="1412">
        <v>0</v>
      </c>
      <c r="L595" s="1412">
        <v>0</v>
      </c>
      <c r="M595" s="1575">
        <v>0</v>
      </c>
      <c r="N595" s="1575"/>
      <c r="O595" s="1575">
        <v>0</v>
      </c>
      <c r="P595" s="1575"/>
      <c r="Q595" s="1575">
        <v>0</v>
      </c>
      <c r="R595" s="1575"/>
      <c r="S595" s="1575"/>
      <c r="T595" s="1575"/>
      <c r="U595" s="1575"/>
    </row>
    <row r="596" spans="1:21" ht="10.9" customHeight="1">
      <c r="A596" s="1574" t="s">
        <v>1322</v>
      </c>
      <c r="B596" s="1574"/>
      <c r="C596" s="1574" t="s">
        <v>6528</v>
      </c>
      <c r="D596" s="1574"/>
      <c r="E596" s="1574"/>
      <c r="F596" s="1574" t="s">
        <v>6542</v>
      </c>
      <c r="G596" s="1574"/>
      <c r="H596" s="1574"/>
      <c r="I596" s="1574"/>
      <c r="J596" s="1412">
        <v>0</v>
      </c>
      <c r="K596" s="1412">
        <v>0</v>
      </c>
      <c r="L596" s="1412">
        <v>0</v>
      </c>
      <c r="M596" s="1575">
        <v>0</v>
      </c>
      <c r="N596" s="1575"/>
      <c r="O596" s="1575">
        <v>0</v>
      </c>
      <c r="P596" s="1575"/>
      <c r="Q596" s="1575">
        <v>0</v>
      </c>
      <c r="R596" s="1575"/>
      <c r="S596" s="1575"/>
      <c r="T596" s="1575"/>
      <c r="U596" s="1575"/>
    </row>
    <row r="597" spans="1:21" ht="10.9" customHeight="1">
      <c r="A597" s="1574" t="s">
        <v>1322</v>
      </c>
      <c r="B597" s="1574"/>
      <c r="C597" s="1574" t="s">
        <v>6661</v>
      </c>
      <c r="D597" s="1574"/>
      <c r="E597" s="1574"/>
      <c r="F597" s="1574" t="s">
        <v>6666</v>
      </c>
      <c r="G597" s="1574"/>
      <c r="H597" s="1574"/>
      <c r="I597" s="1574"/>
      <c r="J597" s="1412">
        <v>2100</v>
      </c>
      <c r="K597" s="1412">
        <v>0</v>
      </c>
      <c r="L597" s="1412">
        <v>0</v>
      </c>
      <c r="M597" s="1575">
        <v>2100</v>
      </c>
      <c r="N597" s="1575"/>
      <c r="O597" s="1575">
        <v>0</v>
      </c>
      <c r="P597" s="1575"/>
      <c r="Q597" s="1575">
        <v>0</v>
      </c>
      <c r="R597" s="1575"/>
      <c r="S597" s="1575"/>
      <c r="T597" s="1575"/>
      <c r="U597" s="1575"/>
    </row>
    <row r="598" spans="1:21" ht="10.9" customHeight="1">
      <c r="A598" s="1574" t="s">
        <v>1322</v>
      </c>
      <c r="B598" s="1574"/>
      <c r="C598" s="1574" t="s">
        <v>6827</v>
      </c>
      <c r="D598" s="1574"/>
      <c r="E598" s="1574"/>
      <c r="F598" s="1574" t="s">
        <v>6828</v>
      </c>
      <c r="G598" s="1574"/>
      <c r="H598" s="1574"/>
      <c r="I598" s="1574"/>
      <c r="J598" s="1412">
        <v>0</v>
      </c>
      <c r="K598" s="1412">
        <v>0</v>
      </c>
      <c r="L598" s="1412">
        <v>0</v>
      </c>
      <c r="M598" s="1575">
        <v>0</v>
      </c>
      <c r="N598" s="1575"/>
      <c r="O598" s="1575">
        <v>0</v>
      </c>
      <c r="P598" s="1575"/>
      <c r="Q598" s="1575">
        <v>0</v>
      </c>
      <c r="R598" s="1575"/>
      <c r="S598" s="1575"/>
      <c r="T598" s="1575"/>
      <c r="U598" s="1575"/>
    </row>
    <row r="599" spans="1:21" ht="10.9" customHeight="1">
      <c r="A599" s="1574" t="s">
        <v>1322</v>
      </c>
      <c r="B599" s="1574"/>
      <c r="C599" s="1574" t="s">
        <v>7027</v>
      </c>
      <c r="D599" s="1574"/>
      <c r="E599" s="1574"/>
      <c r="F599" s="1574" t="s">
        <v>7028</v>
      </c>
      <c r="G599" s="1574"/>
      <c r="H599" s="1574"/>
      <c r="I599" s="1574"/>
      <c r="J599" s="1412">
        <v>0</v>
      </c>
      <c r="K599" s="1412">
        <v>0</v>
      </c>
      <c r="L599" s="1412">
        <v>1500</v>
      </c>
      <c r="M599" s="1575">
        <v>1500</v>
      </c>
      <c r="N599" s="1575"/>
      <c r="O599" s="1575">
        <v>0</v>
      </c>
      <c r="P599" s="1575"/>
      <c r="Q599" s="1575">
        <v>0</v>
      </c>
      <c r="R599" s="1575"/>
      <c r="S599" s="1575"/>
      <c r="T599" s="1575"/>
      <c r="U599" s="1575"/>
    </row>
    <row r="600" spans="1:21" ht="10.9" customHeight="1">
      <c r="A600" s="1574" t="s">
        <v>1322</v>
      </c>
      <c r="B600" s="1574"/>
      <c r="C600" s="1574" t="s">
        <v>2175</v>
      </c>
      <c r="D600" s="1574"/>
      <c r="E600" s="1574"/>
      <c r="F600" s="1574" t="s">
        <v>1008</v>
      </c>
      <c r="G600" s="1574"/>
      <c r="H600" s="1574"/>
      <c r="I600" s="1574"/>
      <c r="J600" s="1412">
        <v>522952.93</v>
      </c>
      <c r="K600" s="1412">
        <v>0</v>
      </c>
      <c r="L600" s="1412">
        <v>177089.56</v>
      </c>
      <c r="M600" s="1575">
        <v>387693.36</v>
      </c>
      <c r="N600" s="1575"/>
      <c r="O600" s="1575">
        <v>312349.13</v>
      </c>
      <c r="P600" s="1575"/>
      <c r="Q600" s="1575">
        <v>0</v>
      </c>
      <c r="R600" s="1575"/>
      <c r="S600" s="1575"/>
      <c r="T600" s="1575"/>
      <c r="U600" s="1575"/>
    </row>
    <row r="601" spans="1:21" ht="19.149999999999999" customHeight="1">
      <c r="A601" s="1574" t="s">
        <v>1322</v>
      </c>
      <c r="B601" s="1574"/>
      <c r="C601" s="1574" t="s">
        <v>1543</v>
      </c>
      <c r="D601" s="1574"/>
      <c r="E601" s="1574"/>
      <c r="F601" s="1574" t="s">
        <v>2176</v>
      </c>
      <c r="G601" s="1574"/>
      <c r="H601" s="1574"/>
      <c r="I601" s="1574"/>
      <c r="J601" s="1412">
        <v>67281.119999999995</v>
      </c>
      <c r="K601" s="1412">
        <v>0</v>
      </c>
      <c r="L601" s="1412">
        <v>153482.56</v>
      </c>
      <c r="M601" s="1575">
        <v>204462.68</v>
      </c>
      <c r="N601" s="1575"/>
      <c r="O601" s="1575">
        <v>16301</v>
      </c>
      <c r="P601" s="1575"/>
      <c r="Q601" s="1575">
        <v>0</v>
      </c>
      <c r="R601" s="1575"/>
      <c r="S601" s="1575"/>
      <c r="T601" s="1575"/>
      <c r="U601" s="1575"/>
    </row>
    <row r="602" spans="1:21" ht="10.9" customHeight="1">
      <c r="A602" s="1574" t="s">
        <v>1322</v>
      </c>
      <c r="B602" s="1574"/>
      <c r="C602" s="1574" t="s">
        <v>5788</v>
      </c>
      <c r="D602" s="1574"/>
      <c r="E602" s="1574"/>
      <c r="F602" s="1574" t="s">
        <v>5789</v>
      </c>
      <c r="G602" s="1574"/>
      <c r="H602" s="1574"/>
      <c r="I602" s="1574"/>
      <c r="J602" s="1412">
        <v>0</v>
      </c>
      <c r="K602" s="1412">
        <v>0</v>
      </c>
      <c r="L602" s="1412">
        <v>1380</v>
      </c>
      <c r="M602" s="1575">
        <v>1380</v>
      </c>
      <c r="N602" s="1575"/>
      <c r="O602" s="1575">
        <v>0</v>
      </c>
      <c r="P602" s="1575"/>
      <c r="Q602" s="1575">
        <v>0</v>
      </c>
      <c r="R602" s="1575"/>
      <c r="S602" s="1575"/>
      <c r="T602" s="1575"/>
      <c r="U602" s="1575"/>
    </row>
    <row r="603" spans="1:21" ht="10.9" customHeight="1">
      <c r="A603" s="1574" t="s">
        <v>1322</v>
      </c>
      <c r="B603" s="1574"/>
      <c r="C603" s="1574" t="s">
        <v>6525</v>
      </c>
      <c r="D603" s="1574"/>
      <c r="E603" s="1574"/>
      <c r="F603" s="1574" t="s">
        <v>6543</v>
      </c>
      <c r="G603" s="1574"/>
      <c r="H603" s="1574"/>
      <c r="I603" s="1574"/>
      <c r="J603" s="1412">
        <v>0</v>
      </c>
      <c r="K603" s="1412">
        <v>0</v>
      </c>
      <c r="L603" s="1412">
        <v>0</v>
      </c>
      <c r="M603" s="1575">
        <v>0</v>
      </c>
      <c r="N603" s="1575"/>
      <c r="O603" s="1575">
        <v>0</v>
      </c>
      <c r="P603" s="1575"/>
      <c r="Q603" s="1575">
        <v>0</v>
      </c>
      <c r="R603" s="1575"/>
      <c r="S603" s="1575"/>
      <c r="T603" s="1575"/>
      <c r="U603" s="1575"/>
    </row>
    <row r="604" spans="1:21" ht="10.9" customHeight="1">
      <c r="A604" s="1574" t="s">
        <v>1322</v>
      </c>
      <c r="B604" s="1574"/>
      <c r="C604" s="1574" t="s">
        <v>3227</v>
      </c>
      <c r="D604" s="1574"/>
      <c r="E604" s="1574"/>
      <c r="F604" s="1574" t="s">
        <v>3240</v>
      </c>
      <c r="G604" s="1574"/>
      <c r="H604" s="1574"/>
      <c r="I604" s="1574"/>
      <c r="J604" s="1412">
        <v>0</v>
      </c>
      <c r="K604" s="1412">
        <v>0</v>
      </c>
      <c r="L604" s="1412">
        <v>20270</v>
      </c>
      <c r="M604" s="1575">
        <v>20270</v>
      </c>
      <c r="N604" s="1575"/>
      <c r="O604" s="1575">
        <v>0</v>
      </c>
      <c r="P604" s="1575"/>
      <c r="Q604" s="1575">
        <v>0</v>
      </c>
      <c r="R604" s="1575"/>
      <c r="S604" s="1575"/>
      <c r="T604" s="1575"/>
      <c r="U604" s="1575"/>
    </row>
    <row r="605" spans="1:21" ht="10.9" customHeight="1">
      <c r="A605" s="1574" t="s">
        <v>1322</v>
      </c>
      <c r="B605" s="1574"/>
      <c r="C605" s="1574" t="s">
        <v>6813</v>
      </c>
      <c r="D605" s="1574"/>
      <c r="E605" s="1574"/>
      <c r="F605" s="1574" t="s">
        <v>6829</v>
      </c>
      <c r="G605" s="1574"/>
      <c r="H605" s="1574"/>
      <c r="I605" s="1574"/>
      <c r="J605" s="1412">
        <v>27384.12</v>
      </c>
      <c r="K605" s="1412">
        <v>0</v>
      </c>
      <c r="L605" s="1412">
        <v>0</v>
      </c>
      <c r="M605" s="1575">
        <v>27384.12</v>
      </c>
      <c r="N605" s="1575"/>
      <c r="O605" s="1575">
        <v>0</v>
      </c>
      <c r="P605" s="1575"/>
      <c r="Q605" s="1575">
        <v>0</v>
      </c>
      <c r="R605" s="1575"/>
      <c r="S605" s="1575"/>
      <c r="T605" s="1575"/>
      <c r="U605" s="1575"/>
    </row>
    <row r="606" spans="1:21" ht="10.9" customHeight="1">
      <c r="A606" s="1574" t="s">
        <v>1322</v>
      </c>
      <c r="B606" s="1574"/>
      <c r="C606" s="1574" t="s">
        <v>6526</v>
      </c>
      <c r="D606" s="1574"/>
      <c r="E606" s="1574"/>
      <c r="F606" s="1574" t="s">
        <v>6544</v>
      </c>
      <c r="G606" s="1574"/>
      <c r="H606" s="1574"/>
      <c r="I606" s="1574"/>
      <c r="J606" s="1412">
        <v>0</v>
      </c>
      <c r="K606" s="1412">
        <v>0</v>
      </c>
      <c r="L606" s="1412">
        <v>111136.56</v>
      </c>
      <c r="M606" s="1575">
        <v>111136.56</v>
      </c>
      <c r="N606" s="1575"/>
      <c r="O606" s="1575">
        <v>0</v>
      </c>
      <c r="P606" s="1575"/>
      <c r="Q606" s="1575">
        <v>0</v>
      </c>
      <c r="R606" s="1575"/>
      <c r="S606" s="1575"/>
      <c r="T606" s="1575"/>
      <c r="U606" s="1575"/>
    </row>
    <row r="607" spans="1:21" ht="10.9" customHeight="1">
      <c r="A607" s="1574" t="s">
        <v>1322</v>
      </c>
      <c r="B607" s="1574"/>
      <c r="C607" s="1574" t="s">
        <v>6186</v>
      </c>
      <c r="D607" s="1574"/>
      <c r="E607" s="1574"/>
      <c r="F607" s="1574" t="s">
        <v>6193</v>
      </c>
      <c r="G607" s="1574"/>
      <c r="H607" s="1574"/>
      <c r="I607" s="1574"/>
      <c r="J607" s="1412">
        <v>0</v>
      </c>
      <c r="K607" s="1412">
        <v>0</v>
      </c>
      <c r="L607" s="1412">
        <v>0</v>
      </c>
      <c r="M607" s="1575">
        <v>0</v>
      </c>
      <c r="N607" s="1575"/>
      <c r="O607" s="1575">
        <v>0</v>
      </c>
      <c r="P607" s="1575"/>
      <c r="Q607" s="1575">
        <v>0</v>
      </c>
      <c r="R607" s="1575"/>
      <c r="S607" s="1575"/>
      <c r="T607" s="1575"/>
      <c r="U607" s="1575"/>
    </row>
    <row r="608" spans="1:21" ht="5.85" customHeight="1"/>
    <row r="609" spans="1:23" ht="14.1" customHeight="1">
      <c r="S609" s="1573" t="s">
        <v>2312</v>
      </c>
      <c r="T609" s="1573"/>
      <c r="U609" s="1573"/>
      <c r="V609" s="1573"/>
      <c r="W609" s="1573"/>
    </row>
    <row r="610" spans="1:23" ht="7.15" customHeight="1">
      <c r="C610" s="1586" t="s">
        <v>2987</v>
      </c>
      <c r="D610" s="1586"/>
      <c r="E610" s="1586"/>
      <c r="F610" s="1586"/>
      <c r="G610" s="1586"/>
      <c r="H610" s="1586"/>
      <c r="I610" s="1586"/>
      <c r="J610" s="1586"/>
      <c r="K610" s="1586"/>
      <c r="L610" s="1586"/>
      <c r="M610" s="1586"/>
      <c r="N610" s="1586"/>
      <c r="O610" s="1586"/>
      <c r="P610" s="1586"/>
      <c r="Q610" s="1586"/>
      <c r="R610" s="1586"/>
      <c r="S610" s="1586"/>
      <c r="T610" s="1586"/>
    </row>
    <row r="611" spans="1:23" ht="9.6" customHeight="1">
      <c r="A611" s="1587"/>
      <c r="B611" s="1587"/>
      <c r="C611" s="1587"/>
      <c r="D611" s="1587"/>
      <c r="E611" s="1587"/>
      <c r="F611" s="1587"/>
      <c r="G611" s="1586"/>
      <c r="H611" s="1586"/>
      <c r="I611" s="1586"/>
      <c r="J611" s="1586"/>
      <c r="K611" s="1586"/>
      <c r="L611" s="1586"/>
      <c r="M611" s="1586"/>
      <c r="N611" s="1586"/>
      <c r="O611" s="1586"/>
      <c r="P611" s="1586"/>
      <c r="Q611" s="1586"/>
      <c r="R611" s="1586"/>
      <c r="S611" s="1586"/>
      <c r="T611" s="1586"/>
    </row>
    <row r="612" spans="1:23" ht="13.35" customHeight="1">
      <c r="A612" s="1587"/>
      <c r="B612" s="1587"/>
      <c r="C612" s="1587"/>
      <c r="D612" s="1587"/>
      <c r="E612" s="1587"/>
      <c r="F612" s="1587"/>
      <c r="G612" s="1588" t="s">
        <v>79</v>
      </c>
      <c r="H612" s="1588"/>
      <c r="I612" s="1588"/>
      <c r="J612" s="1588"/>
      <c r="K612" s="1588"/>
      <c r="L612" s="1588"/>
      <c r="M612" s="1588"/>
      <c r="N612" s="1588"/>
      <c r="O612" s="1588"/>
      <c r="P612" s="1588"/>
      <c r="Q612" s="1588"/>
      <c r="R612" s="1588"/>
    </row>
    <row r="613" spans="1:23" ht="5.25" customHeight="1">
      <c r="A613" s="1587"/>
      <c r="B613" s="1587"/>
      <c r="C613" s="1587"/>
      <c r="D613" s="1587"/>
      <c r="E613" s="1587"/>
      <c r="F613" s="1587"/>
      <c r="G613" s="1581" t="s">
        <v>7015</v>
      </c>
      <c r="H613" s="1581"/>
      <c r="I613" s="1581"/>
      <c r="J613" s="1581"/>
      <c r="K613" s="1581"/>
      <c r="L613" s="1581"/>
      <c r="M613" s="1581"/>
      <c r="N613" s="1581"/>
      <c r="O613" s="1581"/>
      <c r="P613" s="1581"/>
      <c r="Q613" s="1581"/>
    </row>
    <row r="614" spans="1:23" ht="8.1" customHeight="1">
      <c r="B614" s="1580" t="s">
        <v>1916</v>
      </c>
      <c r="C614" s="1580"/>
      <c r="D614" s="1580"/>
      <c r="E614" s="1580"/>
      <c r="F614" s="1580"/>
      <c r="G614" s="1580"/>
      <c r="H614" s="1581"/>
      <c r="I614" s="1581"/>
      <c r="J614" s="1581"/>
      <c r="K614" s="1581"/>
      <c r="L614" s="1581"/>
      <c r="M614" s="1581"/>
      <c r="N614" s="1582" t="s">
        <v>5619</v>
      </c>
      <c r="O614" s="1582"/>
      <c r="P614" s="1582"/>
      <c r="Q614" s="1582"/>
      <c r="R614" s="1582"/>
      <c r="S614" s="1582"/>
      <c r="T614" s="1583" t="s">
        <v>7016</v>
      </c>
      <c r="U614" s="1583"/>
      <c r="V614" s="1583"/>
      <c r="W614" s="1583"/>
    </row>
    <row r="615" spans="1:23" ht="6" customHeight="1">
      <c r="B615" s="1580"/>
      <c r="C615" s="1580"/>
      <c r="D615" s="1580"/>
      <c r="E615" s="1580"/>
      <c r="F615" s="1580"/>
      <c r="G615" s="1580"/>
      <c r="H615" s="1584" t="s">
        <v>7017</v>
      </c>
      <c r="I615" s="1584"/>
      <c r="J615" s="1584"/>
      <c r="K615" s="1584"/>
      <c r="L615" s="1584"/>
      <c r="M615" s="1584"/>
      <c r="N615" s="1582"/>
      <c r="O615" s="1582"/>
      <c r="P615" s="1582"/>
      <c r="Q615" s="1582"/>
      <c r="R615" s="1582"/>
      <c r="S615" s="1582"/>
      <c r="T615" s="1583"/>
      <c r="U615" s="1583"/>
      <c r="V615" s="1583"/>
      <c r="W615" s="1583"/>
    </row>
    <row r="616" spans="1:23" ht="7.35" customHeight="1">
      <c r="B616" s="1580" t="s">
        <v>1994</v>
      </c>
      <c r="C616" s="1580"/>
      <c r="D616" s="1580"/>
      <c r="E616" s="1585"/>
      <c r="F616" s="1585"/>
      <c r="G616" s="1585"/>
      <c r="H616" s="1585"/>
      <c r="I616" s="1585"/>
      <c r="J616" s="1585"/>
      <c r="K616" s="1585"/>
      <c r="L616" s="1585"/>
      <c r="M616" s="1585"/>
      <c r="N616" s="1585"/>
      <c r="O616" s="1585"/>
      <c r="P616" s="1585"/>
      <c r="Q616" s="1585"/>
      <c r="R616" s="1582"/>
      <c r="S616" s="1582"/>
      <c r="T616" s="1582" t="s">
        <v>7018</v>
      </c>
      <c r="U616" s="1582"/>
    </row>
    <row r="617" spans="1:23" ht="6.75" customHeight="1">
      <c r="E617" s="1585"/>
      <c r="F617" s="1585"/>
      <c r="G617" s="1585"/>
      <c r="H617" s="1585"/>
      <c r="I617" s="1585"/>
      <c r="J617" s="1585"/>
      <c r="K617" s="1585"/>
      <c r="L617" s="1585"/>
      <c r="M617" s="1585"/>
      <c r="N617" s="1585"/>
      <c r="O617" s="1585"/>
      <c r="P617" s="1585"/>
      <c r="Q617" s="1585"/>
      <c r="R617" s="1582"/>
      <c r="S617" s="1582"/>
      <c r="T617" s="1582"/>
      <c r="U617" s="1582"/>
    </row>
    <row r="618" spans="1:23" ht="10.9" customHeight="1">
      <c r="A618" s="1576"/>
      <c r="B618" s="1576"/>
      <c r="C618" s="1576"/>
      <c r="D618" s="1576"/>
      <c r="E618" s="1576"/>
      <c r="F618" s="1576"/>
      <c r="G618" s="1576"/>
      <c r="H618" s="1576"/>
      <c r="I618" s="1576"/>
      <c r="J618" s="1577" t="s">
        <v>1314</v>
      </c>
      <c r="K618" s="1577"/>
      <c r="L618" s="1577" t="s">
        <v>1315</v>
      </c>
      <c r="M618" s="1577"/>
      <c r="N618" s="1577"/>
      <c r="O618" s="1577" t="s">
        <v>1316</v>
      </c>
      <c r="P618" s="1577"/>
      <c r="Q618" s="1577"/>
      <c r="R618" s="1577"/>
      <c r="S618" s="1577"/>
      <c r="T618" s="1577"/>
      <c r="U618" s="1577"/>
    </row>
    <row r="619" spans="1:23" ht="14.1" customHeight="1">
      <c r="A619" s="1578" t="s">
        <v>1317</v>
      </c>
      <c r="B619" s="1578"/>
      <c r="C619" s="1578" t="s">
        <v>1318</v>
      </c>
      <c r="D619" s="1578"/>
      <c r="E619" s="1578"/>
      <c r="F619" s="1578" t="s">
        <v>1319</v>
      </c>
      <c r="G619" s="1578"/>
      <c r="H619" s="1578"/>
      <c r="I619" s="1578"/>
      <c r="J619" s="1413" t="s">
        <v>1320</v>
      </c>
      <c r="K619" s="1413" t="s">
        <v>1321</v>
      </c>
      <c r="L619" s="1413" t="s">
        <v>1320</v>
      </c>
      <c r="M619" s="1579" t="s">
        <v>1321</v>
      </c>
      <c r="N619" s="1579"/>
      <c r="O619" s="1579" t="s">
        <v>1320</v>
      </c>
      <c r="P619" s="1579"/>
      <c r="Q619" s="1579" t="s">
        <v>1321</v>
      </c>
      <c r="R619" s="1579"/>
      <c r="S619" s="1579"/>
      <c r="T619" s="1579"/>
      <c r="U619" s="1579"/>
    </row>
    <row r="620" spans="1:23" ht="14.1" customHeight="1">
      <c r="A620" s="1574" t="s">
        <v>1322</v>
      </c>
      <c r="B620" s="1574"/>
      <c r="C620" s="1574" t="s">
        <v>6252</v>
      </c>
      <c r="D620" s="1574"/>
      <c r="E620" s="1574"/>
      <c r="F620" s="1574" t="s">
        <v>6265</v>
      </c>
      <c r="G620" s="1574"/>
      <c r="H620" s="1574"/>
      <c r="I620" s="1574"/>
      <c r="J620" s="1412">
        <v>20696</v>
      </c>
      <c r="K620" s="1412">
        <v>0</v>
      </c>
      <c r="L620" s="1412">
        <v>20696</v>
      </c>
      <c r="M620" s="1575">
        <v>41392</v>
      </c>
      <c r="N620" s="1575"/>
      <c r="O620" s="1575">
        <v>0</v>
      </c>
      <c r="P620" s="1575"/>
      <c r="Q620" s="1575">
        <v>0</v>
      </c>
      <c r="R620" s="1575"/>
      <c r="S620" s="1575"/>
      <c r="T620" s="1575"/>
      <c r="U620" s="1575"/>
    </row>
    <row r="621" spans="1:23" ht="10.9" customHeight="1">
      <c r="A621" s="1574" t="s">
        <v>1322</v>
      </c>
      <c r="B621" s="1574"/>
      <c r="C621" s="1574" t="s">
        <v>6445</v>
      </c>
      <c r="D621" s="1574"/>
      <c r="E621" s="1574"/>
      <c r="F621" s="1574" t="s">
        <v>6460</v>
      </c>
      <c r="G621" s="1574"/>
      <c r="H621" s="1574"/>
      <c r="I621" s="1574"/>
      <c r="J621" s="1412">
        <v>0</v>
      </c>
      <c r="K621" s="1412">
        <v>0</v>
      </c>
      <c r="L621" s="1412">
        <v>0</v>
      </c>
      <c r="M621" s="1575">
        <v>0</v>
      </c>
      <c r="N621" s="1575"/>
      <c r="O621" s="1575">
        <v>0</v>
      </c>
      <c r="P621" s="1575"/>
      <c r="Q621" s="1575">
        <v>0</v>
      </c>
      <c r="R621" s="1575"/>
      <c r="S621" s="1575"/>
      <c r="T621" s="1575"/>
      <c r="U621" s="1575"/>
    </row>
    <row r="622" spans="1:23" ht="10.9" customHeight="1">
      <c r="A622" s="1574" t="s">
        <v>1322</v>
      </c>
      <c r="B622" s="1574"/>
      <c r="C622" s="1574" t="s">
        <v>5763</v>
      </c>
      <c r="D622" s="1574"/>
      <c r="E622" s="1574"/>
      <c r="F622" s="1574" t="s">
        <v>2239</v>
      </c>
      <c r="G622" s="1574"/>
      <c r="H622" s="1574"/>
      <c r="I622" s="1574"/>
      <c r="J622" s="1412">
        <v>16301</v>
      </c>
      <c r="K622" s="1412">
        <v>0</v>
      </c>
      <c r="L622" s="1412">
        <v>0</v>
      </c>
      <c r="M622" s="1575">
        <v>0</v>
      </c>
      <c r="N622" s="1575"/>
      <c r="O622" s="1575">
        <v>16301</v>
      </c>
      <c r="P622" s="1575"/>
      <c r="Q622" s="1575">
        <v>0</v>
      </c>
      <c r="R622" s="1575"/>
      <c r="S622" s="1575"/>
      <c r="T622" s="1575"/>
      <c r="U622" s="1575"/>
    </row>
    <row r="623" spans="1:23" ht="10.9" customHeight="1">
      <c r="A623" s="1574" t="s">
        <v>1322</v>
      </c>
      <c r="B623" s="1574"/>
      <c r="C623" s="1574" t="s">
        <v>5902</v>
      </c>
      <c r="D623" s="1574"/>
      <c r="E623" s="1574"/>
      <c r="F623" s="1574" t="s">
        <v>5911</v>
      </c>
      <c r="G623" s="1574"/>
      <c r="H623" s="1574"/>
      <c r="I623" s="1574"/>
      <c r="J623" s="1412">
        <v>0</v>
      </c>
      <c r="K623" s="1412">
        <v>0</v>
      </c>
      <c r="L623" s="1412">
        <v>0</v>
      </c>
      <c r="M623" s="1575">
        <v>0</v>
      </c>
      <c r="N623" s="1575"/>
      <c r="O623" s="1575">
        <v>0</v>
      </c>
      <c r="P623" s="1575"/>
      <c r="Q623" s="1575">
        <v>0</v>
      </c>
      <c r="R623" s="1575"/>
      <c r="S623" s="1575"/>
      <c r="T623" s="1575"/>
      <c r="U623" s="1575"/>
    </row>
    <row r="624" spans="1:23" ht="10.9" customHeight="1">
      <c r="A624" s="1574" t="s">
        <v>1322</v>
      </c>
      <c r="B624" s="1574"/>
      <c r="C624" s="1574" t="s">
        <v>6461</v>
      </c>
      <c r="D624" s="1574"/>
      <c r="E624" s="1574"/>
      <c r="F624" s="1574" t="s">
        <v>6462</v>
      </c>
      <c r="G624" s="1574"/>
      <c r="H624" s="1574"/>
      <c r="I624" s="1574"/>
      <c r="J624" s="1412">
        <v>0</v>
      </c>
      <c r="K624" s="1412">
        <v>0</v>
      </c>
      <c r="L624" s="1412">
        <v>0</v>
      </c>
      <c r="M624" s="1575">
        <v>0</v>
      </c>
      <c r="N624" s="1575"/>
      <c r="O624" s="1575">
        <v>0</v>
      </c>
      <c r="P624" s="1575"/>
      <c r="Q624" s="1575">
        <v>0</v>
      </c>
      <c r="R624" s="1575"/>
      <c r="S624" s="1575"/>
      <c r="T624" s="1575"/>
      <c r="U624" s="1575"/>
    </row>
    <row r="625" spans="1:21" ht="10.9" customHeight="1">
      <c r="A625" s="1574" t="s">
        <v>1322</v>
      </c>
      <c r="B625" s="1574"/>
      <c r="C625" s="1574" t="s">
        <v>6463</v>
      </c>
      <c r="D625" s="1574"/>
      <c r="E625" s="1574"/>
      <c r="F625" s="1574" t="s">
        <v>6464</v>
      </c>
      <c r="G625" s="1574"/>
      <c r="H625" s="1574"/>
      <c r="I625" s="1574"/>
      <c r="J625" s="1412">
        <v>0</v>
      </c>
      <c r="K625" s="1412">
        <v>0</v>
      </c>
      <c r="L625" s="1412">
        <v>0</v>
      </c>
      <c r="M625" s="1575">
        <v>0</v>
      </c>
      <c r="N625" s="1575"/>
      <c r="O625" s="1575">
        <v>0</v>
      </c>
      <c r="P625" s="1575"/>
      <c r="Q625" s="1575">
        <v>0</v>
      </c>
      <c r="R625" s="1575"/>
      <c r="S625" s="1575"/>
      <c r="T625" s="1575"/>
      <c r="U625" s="1575"/>
    </row>
    <row r="626" spans="1:21" ht="10.9" customHeight="1">
      <c r="A626" s="1574" t="s">
        <v>1322</v>
      </c>
      <c r="B626" s="1574"/>
      <c r="C626" s="1574" t="s">
        <v>6814</v>
      </c>
      <c r="D626" s="1574"/>
      <c r="E626" s="1574"/>
      <c r="F626" s="1574" t="s">
        <v>6830</v>
      </c>
      <c r="G626" s="1574"/>
      <c r="H626" s="1574"/>
      <c r="I626" s="1574"/>
      <c r="J626" s="1412">
        <v>2900</v>
      </c>
      <c r="K626" s="1412">
        <v>0</v>
      </c>
      <c r="L626" s="1412">
        <v>0</v>
      </c>
      <c r="M626" s="1575">
        <v>2900</v>
      </c>
      <c r="N626" s="1575"/>
      <c r="O626" s="1575">
        <v>0</v>
      </c>
      <c r="P626" s="1575"/>
      <c r="Q626" s="1575">
        <v>0</v>
      </c>
      <c r="R626" s="1575"/>
      <c r="S626" s="1575"/>
      <c r="T626" s="1575"/>
      <c r="U626" s="1575"/>
    </row>
    <row r="627" spans="1:21" ht="19.149999999999999" customHeight="1">
      <c r="A627" s="1574" t="s">
        <v>1322</v>
      </c>
      <c r="B627" s="1574"/>
      <c r="C627" s="1574" t="s">
        <v>1544</v>
      </c>
      <c r="D627" s="1574"/>
      <c r="E627" s="1574"/>
      <c r="F627" s="1574" t="s">
        <v>2177</v>
      </c>
      <c r="G627" s="1574"/>
      <c r="H627" s="1574"/>
      <c r="I627" s="1574"/>
      <c r="J627" s="1412">
        <v>328786.34000000003</v>
      </c>
      <c r="K627" s="1412">
        <v>0</v>
      </c>
      <c r="L627" s="1412">
        <v>23607</v>
      </c>
      <c r="M627" s="1575">
        <v>56345.21</v>
      </c>
      <c r="N627" s="1575"/>
      <c r="O627" s="1575">
        <v>296048.13</v>
      </c>
      <c r="P627" s="1575"/>
      <c r="Q627" s="1575">
        <v>0</v>
      </c>
      <c r="R627" s="1575"/>
      <c r="S627" s="1575"/>
      <c r="T627" s="1575"/>
      <c r="U627" s="1575"/>
    </row>
    <row r="628" spans="1:21" ht="10.9" customHeight="1">
      <c r="A628" s="1574" t="s">
        <v>1322</v>
      </c>
      <c r="B628" s="1574"/>
      <c r="C628" s="1574" t="s">
        <v>1545</v>
      </c>
      <c r="D628" s="1574"/>
      <c r="E628" s="1574"/>
      <c r="F628" s="1574" t="s">
        <v>2178</v>
      </c>
      <c r="G628" s="1574"/>
      <c r="H628" s="1574"/>
      <c r="I628" s="1574"/>
      <c r="J628" s="1412">
        <v>210422.38</v>
      </c>
      <c r="K628" s="1412">
        <v>0</v>
      </c>
      <c r="L628" s="1412">
        <v>0</v>
      </c>
      <c r="M628" s="1575">
        <v>33218.910000000003</v>
      </c>
      <c r="N628" s="1575"/>
      <c r="O628" s="1575">
        <v>177203.47</v>
      </c>
      <c r="P628" s="1575"/>
      <c r="Q628" s="1575">
        <v>0</v>
      </c>
      <c r="R628" s="1575"/>
      <c r="S628" s="1575"/>
      <c r="T628" s="1575"/>
      <c r="U628" s="1575"/>
    </row>
    <row r="629" spans="1:21" ht="10.9" customHeight="1">
      <c r="A629" s="1574" t="s">
        <v>1322</v>
      </c>
      <c r="B629" s="1574"/>
      <c r="C629" s="1574" t="s">
        <v>1546</v>
      </c>
      <c r="D629" s="1574"/>
      <c r="E629" s="1574"/>
      <c r="F629" s="1574" t="s">
        <v>2179</v>
      </c>
      <c r="G629" s="1574"/>
      <c r="H629" s="1574"/>
      <c r="I629" s="1574"/>
      <c r="J629" s="1412">
        <v>118363.96</v>
      </c>
      <c r="K629" s="1412">
        <v>0</v>
      </c>
      <c r="L629" s="1412">
        <v>23607</v>
      </c>
      <c r="M629" s="1575">
        <v>23126.3</v>
      </c>
      <c r="N629" s="1575"/>
      <c r="O629" s="1575">
        <v>118844.66</v>
      </c>
      <c r="P629" s="1575"/>
      <c r="Q629" s="1575">
        <v>0</v>
      </c>
      <c r="R629" s="1575"/>
      <c r="S629" s="1575"/>
      <c r="T629" s="1575"/>
      <c r="U629" s="1575"/>
    </row>
    <row r="630" spans="1:21" ht="19.149999999999999" customHeight="1">
      <c r="A630" s="1574" t="s">
        <v>1322</v>
      </c>
      <c r="B630" s="1574"/>
      <c r="C630" s="1574" t="s">
        <v>5912</v>
      </c>
      <c r="D630" s="1574"/>
      <c r="E630" s="1574"/>
      <c r="F630" s="1574" t="s">
        <v>5913</v>
      </c>
      <c r="G630" s="1574"/>
      <c r="H630" s="1574"/>
      <c r="I630" s="1574"/>
      <c r="J630" s="1412">
        <v>126885.47</v>
      </c>
      <c r="K630" s="1412">
        <v>0</v>
      </c>
      <c r="L630" s="1412">
        <v>0</v>
      </c>
      <c r="M630" s="1575">
        <v>126885.47</v>
      </c>
      <c r="N630" s="1575"/>
      <c r="O630" s="1575">
        <v>0</v>
      </c>
      <c r="P630" s="1575"/>
      <c r="Q630" s="1575">
        <v>0</v>
      </c>
      <c r="R630" s="1575"/>
      <c r="S630" s="1575"/>
      <c r="T630" s="1575"/>
      <c r="U630" s="1575"/>
    </row>
    <row r="631" spans="1:21" ht="10.9" customHeight="1">
      <c r="A631" s="1574" t="s">
        <v>1322</v>
      </c>
      <c r="B631" s="1574"/>
      <c r="C631" s="1574" t="s">
        <v>5914</v>
      </c>
      <c r="D631" s="1574"/>
      <c r="E631" s="1574"/>
      <c r="F631" s="1574" t="s">
        <v>5915</v>
      </c>
      <c r="G631" s="1574"/>
      <c r="H631" s="1574"/>
      <c r="I631" s="1574"/>
      <c r="J631" s="1412">
        <v>0</v>
      </c>
      <c r="K631" s="1412">
        <v>0</v>
      </c>
      <c r="L631" s="1412">
        <v>0</v>
      </c>
      <c r="M631" s="1575">
        <v>0</v>
      </c>
      <c r="N631" s="1575"/>
      <c r="O631" s="1575">
        <v>0</v>
      </c>
      <c r="P631" s="1575"/>
      <c r="Q631" s="1575">
        <v>0</v>
      </c>
      <c r="R631" s="1575"/>
      <c r="S631" s="1575"/>
      <c r="T631" s="1575"/>
      <c r="U631" s="1575"/>
    </row>
    <row r="632" spans="1:21" ht="10.9" customHeight="1">
      <c r="A632" s="1574" t="s">
        <v>1322</v>
      </c>
      <c r="B632" s="1574"/>
      <c r="C632" s="1574" t="s">
        <v>6465</v>
      </c>
      <c r="D632" s="1574"/>
      <c r="E632" s="1574"/>
      <c r="F632" s="1574" t="s">
        <v>6466</v>
      </c>
      <c r="G632" s="1574"/>
      <c r="H632" s="1574"/>
      <c r="I632" s="1574"/>
      <c r="J632" s="1412">
        <v>126885.47</v>
      </c>
      <c r="K632" s="1412">
        <v>0</v>
      </c>
      <c r="L632" s="1412">
        <v>0</v>
      </c>
      <c r="M632" s="1575">
        <v>126885.47</v>
      </c>
      <c r="N632" s="1575"/>
      <c r="O632" s="1575">
        <v>0</v>
      </c>
      <c r="P632" s="1575"/>
      <c r="Q632" s="1575">
        <v>0</v>
      </c>
      <c r="R632" s="1575"/>
      <c r="S632" s="1575"/>
      <c r="T632" s="1575"/>
      <c r="U632" s="1575"/>
    </row>
    <row r="633" spans="1:21" ht="10.9" customHeight="1">
      <c r="A633" s="1574" t="s">
        <v>1322</v>
      </c>
      <c r="B633" s="1574"/>
      <c r="C633" s="1574" t="s">
        <v>2181</v>
      </c>
      <c r="D633" s="1574"/>
      <c r="E633" s="1574"/>
      <c r="F633" s="1574" t="s">
        <v>1009</v>
      </c>
      <c r="G633" s="1574"/>
      <c r="H633" s="1574"/>
      <c r="I633" s="1574"/>
      <c r="J633" s="1412">
        <v>166672.14000000001</v>
      </c>
      <c r="K633" s="1412">
        <v>0</v>
      </c>
      <c r="L633" s="1412">
        <v>2149.6</v>
      </c>
      <c r="M633" s="1575">
        <v>0</v>
      </c>
      <c r="N633" s="1575"/>
      <c r="O633" s="1575">
        <v>168821.74</v>
      </c>
      <c r="P633" s="1575"/>
      <c r="Q633" s="1575">
        <v>0</v>
      </c>
      <c r="R633" s="1575"/>
      <c r="S633" s="1575"/>
      <c r="T633" s="1575"/>
      <c r="U633" s="1575"/>
    </row>
    <row r="634" spans="1:21" ht="10.9" customHeight="1">
      <c r="A634" s="1574" t="s">
        <v>1322</v>
      </c>
      <c r="B634" s="1574"/>
      <c r="C634" s="1574" t="s">
        <v>1547</v>
      </c>
      <c r="D634" s="1574"/>
      <c r="E634" s="1574"/>
      <c r="F634" s="1574" t="s">
        <v>191</v>
      </c>
      <c r="G634" s="1574"/>
      <c r="H634" s="1574"/>
      <c r="I634" s="1574"/>
      <c r="J634" s="1412">
        <v>166672.14000000001</v>
      </c>
      <c r="K634" s="1412">
        <v>0</v>
      </c>
      <c r="L634" s="1412">
        <v>2149.6</v>
      </c>
      <c r="M634" s="1575">
        <v>0</v>
      </c>
      <c r="N634" s="1575"/>
      <c r="O634" s="1575">
        <v>168821.74</v>
      </c>
      <c r="P634" s="1575"/>
      <c r="Q634" s="1575">
        <v>0</v>
      </c>
      <c r="R634" s="1575"/>
      <c r="S634" s="1575"/>
      <c r="T634" s="1575"/>
      <c r="U634" s="1575"/>
    </row>
    <row r="635" spans="1:21" ht="10.9" customHeight="1">
      <c r="A635" s="1574" t="s">
        <v>1322</v>
      </c>
      <c r="B635" s="1574"/>
      <c r="C635" s="1574" t="s">
        <v>1548</v>
      </c>
      <c r="D635" s="1574"/>
      <c r="E635" s="1574"/>
      <c r="F635" s="1574" t="s">
        <v>2182</v>
      </c>
      <c r="G635" s="1574"/>
      <c r="H635" s="1574"/>
      <c r="I635" s="1574"/>
      <c r="J635" s="1412">
        <v>157280.14000000001</v>
      </c>
      <c r="K635" s="1412">
        <v>0</v>
      </c>
      <c r="L635" s="1412">
        <v>0</v>
      </c>
      <c r="M635" s="1575">
        <v>0</v>
      </c>
      <c r="N635" s="1575"/>
      <c r="O635" s="1575">
        <v>157280.14000000001</v>
      </c>
      <c r="P635" s="1575"/>
      <c r="Q635" s="1575">
        <v>0</v>
      </c>
      <c r="R635" s="1575"/>
      <c r="S635" s="1575"/>
      <c r="T635" s="1575"/>
      <c r="U635" s="1575"/>
    </row>
    <row r="636" spans="1:21" ht="10.9" customHeight="1">
      <c r="A636" s="1574" t="s">
        <v>1322</v>
      </c>
      <c r="B636" s="1574"/>
      <c r="C636" s="1574" t="s">
        <v>6545</v>
      </c>
      <c r="D636" s="1574"/>
      <c r="E636" s="1574"/>
      <c r="F636" s="1574" t="s">
        <v>6546</v>
      </c>
      <c r="G636" s="1574"/>
      <c r="H636" s="1574"/>
      <c r="I636" s="1574"/>
      <c r="J636" s="1412">
        <v>9392</v>
      </c>
      <c r="K636" s="1412">
        <v>0</v>
      </c>
      <c r="L636" s="1412">
        <v>0</v>
      </c>
      <c r="M636" s="1575">
        <v>0</v>
      </c>
      <c r="N636" s="1575"/>
      <c r="O636" s="1575">
        <v>9392</v>
      </c>
      <c r="P636" s="1575"/>
      <c r="Q636" s="1575">
        <v>0</v>
      </c>
      <c r="R636" s="1575"/>
      <c r="S636" s="1575"/>
      <c r="T636" s="1575"/>
      <c r="U636" s="1575"/>
    </row>
    <row r="637" spans="1:21" ht="10.9" customHeight="1">
      <c r="A637" s="1574" t="s">
        <v>1322</v>
      </c>
      <c r="B637" s="1574"/>
      <c r="C637" s="1574" t="s">
        <v>7029</v>
      </c>
      <c r="D637" s="1574"/>
      <c r="E637" s="1574"/>
      <c r="F637" s="1574" t="s">
        <v>5911</v>
      </c>
      <c r="G637" s="1574"/>
      <c r="H637" s="1574"/>
      <c r="I637" s="1574"/>
      <c r="J637" s="1412">
        <v>0</v>
      </c>
      <c r="K637" s="1412">
        <v>0</v>
      </c>
      <c r="L637" s="1412">
        <v>2149.6</v>
      </c>
      <c r="M637" s="1575">
        <v>0</v>
      </c>
      <c r="N637" s="1575"/>
      <c r="O637" s="1575">
        <v>2149.6</v>
      </c>
      <c r="P637" s="1575"/>
      <c r="Q637" s="1575">
        <v>0</v>
      </c>
      <c r="R637" s="1575"/>
      <c r="S637" s="1575"/>
      <c r="T637" s="1575"/>
      <c r="U637" s="1575"/>
    </row>
    <row r="638" spans="1:21" ht="10.9" customHeight="1">
      <c r="A638" s="1574" t="s">
        <v>1322</v>
      </c>
      <c r="B638" s="1574"/>
      <c r="C638" s="1574" t="s">
        <v>2183</v>
      </c>
      <c r="D638" s="1574"/>
      <c r="E638" s="1574"/>
      <c r="F638" s="1574" t="s">
        <v>1010</v>
      </c>
      <c r="G638" s="1574"/>
      <c r="H638" s="1574"/>
      <c r="I638" s="1574"/>
      <c r="J638" s="1412">
        <v>986009064.08000004</v>
      </c>
      <c r="K638" s="1412">
        <v>0</v>
      </c>
      <c r="L638" s="1412">
        <v>3208983.01</v>
      </c>
      <c r="M638" s="1575">
        <v>720903.32</v>
      </c>
      <c r="N638" s="1575"/>
      <c r="O638" s="1575">
        <v>988497143.76999998</v>
      </c>
      <c r="P638" s="1575"/>
      <c r="Q638" s="1575">
        <v>0</v>
      </c>
      <c r="R638" s="1575"/>
      <c r="S638" s="1575"/>
      <c r="T638" s="1575"/>
      <c r="U638" s="1575"/>
    </row>
    <row r="639" spans="1:21" ht="10.9" customHeight="1">
      <c r="A639" s="1574" t="s">
        <v>1322</v>
      </c>
      <c r="B639" s="1574"/>
      <c r="C639" s="1574" t="s">
        <v>2184</v>
      </c>
      <c r="D639" s="1574"/>
      <c r="E639" s="1574"/>
      <c r="F639" s="1574" t="s">
        <v>1011</v>
      </c>
      <c r="G639" s="1574"/>
      <c r="H639" s="1574"/>
      <c r="I639" s="1574"/>
      <c r="J639" s="1412">
        <v>1758830</v>
      </c>
      <c r="K639" s="1412">
        <v>0</v>
      </c>
      <c r="L639" s="1412">
        <v>0</v>
      </c>
      <c r="M639" s="1575">
        <v>0</v>
      </c>
      <c r="N639" s="1575"/>
      <c r="O639" s="1575">
        <v>1758830</v>
      </c>
      <c r="P639" s="1575"/>
      <c r="Q639" s="1575">
        <v>0</v>
      </c>
      <c r="R639" s="1575"/>
      <c r="S639" s="1575"/>
      <c r="T639" s="1575"/>
      <c r="U639" s="1575"/>
    </row>
    <row r="640" spans="1:21" ht="10.9" customHeight="1">
      <c r="A640" s="1574" t="s">
        <v>1322</v>
      </c>
      <c r="B640" s="1574"/>
      <c r="C640" s="1574" t="s">
        <v>1549</v>
      </c>
      <c r="D640" s="1574"/>
      <c r="E640" s="1574"/>
      <c r="F640" s="1574" t="s">
        <v>1550</v>
      </c>
      <c r="G640" s="1574"/>
      <c r="H640" s="1574"/>
      <c r="I640" s="1574"/>
      <c r="J640" s="1412">
        <v>1758830</v>
      </c>
      <c r="K640" s="1412">
        <v>0</v>
      </c>
      <c r="L640" s="1412">
        <v>0</v>
      </c>
      <c r="M640" s="1575">
        <v>0</v>
      </c>
      <c r="N640" s="1575"/>
      <c r="O640" s="1575">
        <v>1758830</v>
      </c>
      <c r="P640" s="1575"/>
      <c r="Q640" s="1575">
        <v>0</v>
      </c>
      <c r="R640" s="1575"/>
      <c r="S640" s="1575"/>
      <c r="T640" s="1575"/>
      <c r="U640" s="1575"/>
    </row>
    <row r="641" spans="1:21" ht="10.9" customHeight="1">
      <c r="A641" s="1574" t="s">
        <v>1322</v>
      </c>
      <c r="B641" s="1574"/>
      <c r="C641" s="1574" t="s">
        <v>1551</v>
      </c>
      <c r="D641" s="1574"/>
      <c r="E641" s="1574"/>
      <c r="F641" s="1574" t="s">
        <v>1552</v>
      </c>
      <c r="G641" s="1574"/>
      <c r="H641" s="1574"/>
      <c r="I641" s="1574"/>
      <c r="J641" s="1412">
        <v>1758830</v>
      </c>
      <c r="K641" s="1412">
        <v>0</v>
      </c>
      <c r="L641" s="1412">
        <v>0</v>
      </c>
      <c r="M641" s="1575">
        <v>0</v>
      </c>
      <c r="N641" s="1575"/>
      <c r="O641" s="1575">
        <v>1758830</v>
      </c>
      <c r="P641" s="1575"/>
      <c r="Q641" s="1575">
        <v>0</v>
      </c>
      <c r="R641" s="1575"/>
      <c r="S641" s="1575"/>
      <c r="T641" s="1575"/>
      <c r="U641" s="1575"/>
    </row>
    <row r="642" spans="1:21" ht="10.9" customHeight="1">
      <c r="A642" s="1574" t="s">
        <v>1322</v>
      </c>
      <c r="B642" s="1574"/>
      <c r="C642" s="1574" t="s">
        <v>1553</v>
      </c>
      <c r="D642" s="1574"/>
      <c r="E642" s="1574"/>
      <c r="F642" s="1574" t="s">
        <v>2185</v>
      </c>
      <c r="G642" s="1574"/>
      <c r="H642" s="1574"/>
      <c r="I642" s="1574"/>
      <c r="J642" s="1412">
        <v>8830</v>
      </c>
      <c r="K642" s="1412">
        <v>0</v>
      </c>
      <c r="L642" s="1412">
        <v>0</v>
      </c>
      <c r="M642" s="1575">
        <v>0</v>
      </c>
      <c r="N642" s="1575"/>
      <c r="O642" s="1575">
        <v>8830</v>
      </c>
      <c r="P642" s="1575"/>
      <c r="Q642" s="1575">
        <v>0</v>
      </c>
      <c r="R642" s="1575"/>
      <c r="S642" s="1575"/>
      <c r="T642" s="1575"/>
      <c r="U642" s="1575"/>
    </row>
    <row r="643" spans="1:21" ht="10.9" customHeight="1">
      <c r="A643" s="1574" t="s">
        <v>1322</v>
      </c>
      <c r="B643" s="1574"/>
      <c r="C643" s="1574" t="s">
        <v>1554</v>
      </c>
      <c r="D643" s="1574"/>
      <c r="E643" s="1574"/>
      <c r="F643" s="1574" t="s">
        <v>2186</v>
      </c>
      <c r="G643" s="1574"/>
      <c r="H643" s="1574"/>
      <c r="I643" s="1574"/>
      <c r="J643" s="1412">
        <v>1750000</v>
      </c>
      <c r="K643" s="1412">
        <v>0</v>
      </c>
      <c r="L643" s="1412">
        <v>0</v>
      </c>
      <c r="M643" s="1575">
        <v>0</v>
      </c>
      <c r="N643" s="1575"/>
      <c r="O643" s="1575">
        <v>1750000</v>
      </c>
      <c r="P643" s="1575"/>
      <c r="Q643" s="1575">
        <v>0</v>
      </c>
      <c r="R643" s="1575"/>
      <c r="S643" s="1575"/>
      <c r="T643" s="1575"/>
      <c r="U643" s="1575"/>
    </row>
    <row r="644" spans="1:21" ht="19.149999999999999" customHeight="1">
      <c r="A644" s="1574" t="s">
        <v>1322</v>
      </c>
      <c r="B644" s="1574"/>
      <c r="C644" s="1574" t="s">
        <v>2187</v>
      </c>
      <c r="D644" s="1574"/>
      <c r="E644" s="1574"/>
      <c r="F644" s="1574" t="s">
        <v>1012</v>
      </c>
      <c r="G644" s="1574"/>
      <c r="H644" s="1574"/>
      <c r="I644" s="1574"/>
      <c r="J644" s="1412">
        <v>1002794288.83</v>
      </c>
      <c r="K644" s="1412">
        <v>0</v>
      </c>
      <c r="L644" s="1412">
        <v>3208983.01</v>
      </c>
      <c r="M644" s="1575">
        <v>0</v>
      </c>
      <c r="N644" s="1575"/>
      <c r="O644" s="1575">
        <v>1006003271.84</v>
      </c>
      <c r="P644" s="1575"/>
      <c r="Q644" s="1575">
        <v>0</v>
      </c>
      <c r="R644" s="1575"/>
      <c r="S644" s="1575"/>
      <c r="T644" s="1575"/>
      <c r="U644" s="1575"/>
    </row>
    <row r="645" spans="1:21" ht="10.9" customHeight="1">
      <c r="A645" s="1574" t="s">
        <v>1322</v>
      </c>
      <c r="B645" s="1574"/>
      <c r="C645" s="1574" t="s">
        <v>1555</v>
      </c>
      <c r="D645" s="1574"/>
      <c r="E645" s="1574"/>
      <c r="F645" s="1574" t="s">
        <v>194</v>
      </c>
      <c r="G645" s="1574"/>
      <c r="H645" s="1574"/>
      <c r="I645" s="1574"/>
      <c r="J645" s="1412">
        <v>775389459.36000001</v>
      </c>
      <c r="K645" s="1412">
        <v>0</v>
      </c>
      <c r="L645" s="1412">
        <v>3020830.25</v>
      </c>
      <c r="M645" s="1575">
        <v>0</v>
      </c>
      <c r="N645" s="1575"/>
      <c r="O645" s="1575">
        <v>778410289.61000001</v>
      </c>
      <c r="P645" s="1575"/>
      <c r="Q645" s="1575">
        <v>0</v>
      </c>
      <c r="R645" s="1575"/>
      <c r="S645" s="1575"/>
      <c r="T645" s="1575"/>
      <c r="U645" s="1575"/>
    </row>
    <row r="646" spans="1:21" ht="10.9" customHeight="1">
      <c r="A646" s="1574" t="s">
        <v>1322</v>
      </c>
      <c r="B646" s="1574"/>
      <c r="C646" s="1574" t="s">
        <v>3158</v>
      </c>
      <c r="D646" s="1574"/>
      <c r="E646" s="1574"/>
      <c r="F646" s="1574" t="s">
        <v>2188</v>
      </c>
      <c r="G646" s="1574"/>
      <c r="H646" s="1574"/>
      <c r="I646" s="1574"/>
      <c r="J646" s="1412">
        <v>337116260.32999998</v>
      </c>
      <c r="K646" s="1412">
        <v>0</v>
      </c>
      <c r="L646" s="1412">
        <v>0</v>
      </c>
      <c r="M646" s="1575">
        <v>0</v>
      </c>
      <c r="N646" s="1575"/>
      <c r="O646" s="1575">
        <v>337116260.32999998</v>
      </c>
      <c r="P646" s="1575"/>
      <c r="Q646" s="1575">
        <v>0</v>
      </c>
      <c r="R646" s="1575"/>
      <c r="S646" s="1575"/>
      <c r="T646" s="1575"/>
      <c r="U646" s="1575"/>
    </row>
    <row r="647" spans="1:21" ht="10.9" customHeight="1">
      <c r="A647" s="1574" t="s">
        <v>1322</v>
      </c>
      <c r="B647" s="1574"/>
      <c r="C647" s="1574" t="s">
        <v>3159</v>
      </c>
      <c r="D647" s="1574"/>
      <c r="E647" s="1574"/>
      <c r="F647" s="1574" t="s">
        <v>2189</v>
      </c>
      <c r="G647" s="1574"/>
      <c r="H647" s="1574"/>
      <c r="I647" s="1574"/>
      <c r="J647" s="1412">
        <v>112274966.41</v>
      </c>
      <c r="K647" s="1412">
        <v>0</v>
      </c>
      <c r="L647" s="1412">
        <v>0</v>
      </c>
      <c r="M647" s="1575">
        <v>0</v>
      </c>
      <c r="N647" s="1575"/>
      <c r="O647" s="1575">
        <v>112274966.41</v>
      </c>
      <c r="P647" s="1575"/>
      <c r="Q647" s="1575">
        <v>0</v>
      </c>
      <c r="R647" s="1575"/>
      <c r="S647" s="1575"/>
      <c r="T647" s="1575"/>
      <c r="U647" s="1575"/>
    </row>
    <row r="648" spans="1:21" ht="10.9" customHeight="1">
      <c r="A648" s="1574" t="s">
        <v>1322</v>
      </c>
      <c r="B648" s="1574"/>
      <c r="C648" s="1574" t="s">
        <v>3160</v>
      </c>
      <c r="D648" s="1574"/>
      <c r="E648" s="1574"/>
      <c r="F648" s="1574" t="s">
        <v>2190</v>
      </c>
      <c r="G648" s="1574"/>
      <c r="H648" s="1574"/>
      <c r="I648" s="1574"/>
      <c r="J648" s="1412">
        <v>104784156.03</v>
      </c>
      <c r="K648" s="1412">
        <v>0</v>
      </c>
      <c r="L648" s="1412">
        <v>3020830.25</v>
      </c>
      <c r="M648" s="1575">
        <v>0</v>
      </c>
      <c r="N648" s="1575"/>
      <c r="O648" s="1575">
        <v>107804986.28</v>
      </c>
      <c r="P648" s="1575"/>
      <c r="Q648" s="1575">
        <v>0</v>
      </c>
      <c r="R648" s="1575"/>
      <c r="S648" s="1575"/>
      <c r="T648" s="1575"/>
      <c r="U648" s="1575"/>
    </row>
    <row r="649" spans="1:21" ht="10.9" customHeight="1">
      <c r="A649" s="1574" t="s">
        <v>1322</v>
      </c>
      <c r="B649" s="1574"/>
      <c r="C649" s="1574" t="s">
        <v>3161</v>
      </c>
      <c r="D649" s="1574"/>
      <c r="E649" s="1574"/>
      <c r="F649" s="1574" t="s">
        <v>2191</v>
      </c>
      <c r="G649" s="1574"/>
      <c r="H649" s="1574"/>
      <c r="I649" s="1574"/>
      <c r="J649" s="1412">
        <v>19366689.239999998</v>
      </c>
      <c r="K649" s="1412">
        <v>0</v>
      </c>
      <c r="L649" s="1412">
        <v>0</v>
      </c>
      <c r="M649" s="1575">
        <v>0</v>
      </c>
      <c r="N649" s="1575"/>
      <c r="O649" s="1575">
        <v>19366689.239999998</v>
      </c>
      <c r="P649" s="1575"/>
      <c r="Q649" s="1575">
        <v>0</v>
      </c>
      <c r="R649" s="1575"/>
      <c r="S649" s="1575"/>
      <c r="T649" s="1575"/>
      <c r="U649" s="1575"/>
    </row>
    <row r="650" spans="1:21" ht="10.9" customHeight="1">
      <c r="A650" s="1574" t="s">
        <v>1322</v>
      </c>
      <c r="B650" s="1574"/>
      <c r="C650" s="1574" t="s">
        <v>3162</v>
      </c>
      <c r="D650" s="1574"/>
      <c r="E650" s="1574"/>
      <c r="F650" s="1574" t="s">
        <v>2192</v>
      </c>
      <c r="G650" s="1574"/>
      <c r="H650" s="1574"/>
      <c r="I650" s="1574"/>
      <c r="J650" s="1412">
        <v>33128550.920000002</v>
      </c>
      <c r="K650" s="1412">
        <v>0</v>
      </c>
      <c r="L650" s="1412">
        <v>0</v>
      </c>
      <c r="M650" s="1575">
        <v>0</v>
      </c>
      <c r="N650" s="1575"/>
      <c r="O650" s="1575">
        <v>33128550.920000002</v>
      </c>
      <c r="P650" s="1575"/>
      <c r="Q650" s="1575">
        <v>0</v>
      </c>
      <c r="R650" s="1575"/>
      <c r="S650" s="1575"/>
      <c r="T650" s="1575"/>
      <c r="U650" s="1575"/>
    </row>
    <row r="651" spans="1:21" ht="10.9" customHeight="1">
      <c r="A651" s="1574" t="s">
        <v>1322</v>
      </c>
      <c r="B651" s="1574"/>
      <c r="C651" s="1574" t="s">
        <v>3163</v>
      </c>
      <c r="D651" s="1574"/>
      <c r="E651" s="1574"/>
      <c r="F651" s="1574" t="s">
        <v>3164</v>
      </c>
      <c r="G651" s="1574"/>
      <c r="H651" s="1574"/>
      <c r="I651" s="1574"/>
      <c r="J651" s="1412">
        <v>29497077.57</v>
      </c>
      <c r="K651" s="1412">
        <v>0</v>
      </c>
      <c r="L651" s="1412">
        <v>0</v>
      </c>
      <c r="M651" s="1575">
        <v>0</v>
      </c>
      <c r="N651" s="1575"/>
      <c r="O651" s="1575">
        <v>29497077.57</v>
      </c>
      <c r="P651" s="1575"/>
      <c r="Q651" s="1575">
        <v>0</v>
      </c>
      <c r="R651" s="1575"/>
      <c r="S651" s="1575"/>
      <c r="T651" s="1575"/>
      <c r="U651" s="1575"/>
    </row>
    <row r="652" spans="1:21" ht="10.9" customHeight="1">
      <c r="A652" s="1574" t="s">
        <v>1322</v>
      </c>
      <c r="B652" s="1574"/>
      <c r="C652" s="1574" t="s">
        <v>3165</v>
      </c>
      <c r="D652" s="1574"/>
      <c r="E652" s="1574"/>
      <c r="F652" s="1574" t="s">
        <v>2193</v>
      </c>
      <c r="G652" s="1574"/>
      <c r="H652" s="1574"/>
      <c r="I652" s="1574"/>
      <c r="J652" s="1412">
        <v>24647094.699999999</v>
      </c>
      <c r="K652" s="1412">
        <v>0</v>
      </c>
      <c r="L652" s="1412">
        <v>0</v>
      </c>
      <c r="M652" s="1575">
        <v>0</v>
      </c>
      <c r="N652" s="1575"/>
      <c r="O652" s="1575">
        <v>24647094.699999999</v>
      </c>
      <c r="P652" s="1575"/>
      <c r="Q652" s="1575">
        <v>0</v>
      </c>
      <c r="R652" s="1575"/>
      <c r="S652" s="1575"/>
      <c r="T652" s="1575"/>
      <c r="U652" s="1575"/>
    </row>
    <row r="653" spans="1:21" ht="10.9" customHeight="1">
      <c r="A653" s="1574" t="s">
        <v>1322</v>
      </c>
      <c r="B653" s="1574"/>
      <c r="C653" s="1574" t="s">
        <v>3166</v>
      </c>
      <c r="D653" s="1574"/>
      <c r="E653" s="1574"/>
      <c r="F653" s="1574" t="s">
        <v>2194</v>
      </c>
      <c r="G653" s="1574"/>
      <c r="H653" s="1574"/>
      <c r="I653" s="1574"/>
      <c r="J653" s="1412">
        <v>9537506.0199999996</v>
      </c>
      <c r="K653" s="1412">
        <v>0</v>
      </c>
      <c r="L653" s="1412">
        <v>0</v>
      </c>
      <c r="M653" s="1575">
        <v>0</v>
      </c>
      <c r="N653" s="1575"/>
      <c r="O653" s="1575">
        <v>9537506.0199999996</v>
      </c>
      <c r="P653" s="1575"/>
      <c r="Q653" s="1575">
        <v>0</v>
      </c>
      <c r="R653" s="1575"/>
      <c r="S653" s="1575"/>
      <c r="T653" s="1575"/>
      <c r="U653" s="1575"/>
    </row>
    <row r="654" spans="1:21" ht="10.9" customHeight="1">
      <c r="A654" s="1574" t="s">
        <v>1322</v>
      </c>
      <c r="B654" s="1574"/>
      <c r="C654" s="1574" t="s">
        <v>3167</v>
      </c>
      <c r="D654" s="1574"/>
      <c r="E654" s="1574"/>
      <c r="F654" s="1574" t="s">
        <v>2195</v>
      </c>
      <c r="G654" s="1574"/>
      <c r="H654" s="1574"/>
      <c r="I654" s="1574"/>
      <c r="J654" s="1412">
        <v>42541941.060000002</v>
      </c>
      <c r="K654" s="1412">
        <v>0</v>
      </c>
      <c r="L654" s="1412">
        <v>0</v>
      </c>
      <c r="M654" s="1575">
        <v>0</v>
      </c>
      <c r="N654" s="1575"/>
      <c r="O654" s="1575">
        <v>42541941.060000002</v>
      </c>
      <c r="P654" s="1575"/>
      <c r="Q654" s="1575">
        <v>0</v>
      </c>
      <c r="R654" s="1575"/>
      <c r="S654" s="1575"/>
      <c r="T654" s="1575"/>
      <c r="U654" s="1575"/>
    </row>
    <row r="655" spans="1:21" ht="10.9" customHeight="1">
      <c r="A655" s="1574" t="s">
        <v>1322</v>
      </c>
      <c r="B655" s="1574"/>
      <c r="C655" s="1574" t="s">
        <v>3168</v>
      </c>
      <c r="D655" s="1574"/>
      <c r="E655" s="1574"/>
      <c r="F655" s="1574" t="s">
        <v>2196</v>
      </c>
      <c r="G655" s="1574"/>
      <c r="H655" s="1574"/>
      <c r="I655" s="1574"/>
      <c r="J655" s="1412">
        <v>52573470.68</v>
      </c>
      <c r="K655" s="1412">
        <v>0</v>
      </c>
      <c r="L655" s="1412">
        <v>0</v>
      </c>
      <c r="M655" s="1575">
        <v>0</v>
      </c>
      <c r="N655" s="1575"/>
      <c r="O655" s="1575">
        <v>52573470.68</v>
      </c>
      <c r="P655" s="1575"/>
      <c r="Q655" s="1575">
        <v>0</v>
      </c>
      <c r="R655" s="1575"/>
      <c r="S655" s="1575"/>
      <c r="T655" s="1575"/>
      <c r="U655" s="1575"/>
    </row>
    <row r="656" spans="1:21" ht="10.9" customHeight="1">
      <c r="A656" s="1574" t="s">
        <v>1322</v>
      </c>
      <c r="B656" s="1574"/>
      <c r="C656" s="1574" t="s">
        <v>3169</v>
      </c>
      <c r="D656" s="1574"/>
      <c r="E656" s="1574"/>
      <c r="F656" s="1574" t="s">
        <v>2197</v>
      </c>
      <c r="G656" s="1574"/>
      <c r="H656" s="1574"/>
      <c r="I656" s="1574"/>
      <c r="J656" s="1412">
        <v>6520761.4800000004</v>
      </c>
      <c r="K656" s="1412">
        <v>0</v>
      </c>
      <c r="L656" s="1412">
        <v>0</v>
      </c>
      <c r="M656" s="1575">
        <v>0</v>
      </c>
      <c r="N656" s="1575"/>
      <c r="O656" s="1575">
        <v>6520761.4800000004</v>
      </c>
      <c r="P656" s="1575"/>
      <c r="Q656" s="1575">
        <v>0</v>
      </c>
      <c r="R656" s="1575"/>
      <c r="S656" s="1575"/>
      <c r="T656" s="1575"/>
      <c r="U656" s="1575"/>
    </row>
    <row r="657" spans="1:23" ht="10.9" customHeight="1">
      <c r="A657" s="1574" t="s">
        <v>1322</v>
      </c>
      <c r="B657" s="1574"/>
      <c r="C657" s="1574" t="s">
        <v>3170</v>
      </c>
      <c r="D657" s="1574"/>
      <c r="E657" s="1574"/>
      <c r="F657" s="1574" t="s">
        <v>2198</v>
      </c>
      <c r="G657" s="1574"/>
      <c r="H657" s="1574"/>
      <c r="I657" s="1574"/>
      <c r="J657" s="1412">
        <v>3400984.92</v>
      </c>
      <c r="K657" s="1412">
        <v>0</v>
      </c>
      <c r="L657" s="1412">
        <v>0</v>
      </c>
      <c r="M657" s="1575">
        <v>0</v>
      </c>
      <c r="N657" s="1575"/>
      <c r="O657" s="1575">
        <v>3400984.92</v>
      </c>
      <c r="P657" s="1575"/>
      <c r="Q657" s="1575">
        <v>0</v>
      </c>
      <c r="R657" s="1575"/>
      <c r="S657" s="1575"/>
      <c r="T657" s="1575"/>
      <c r="U657" s="1575"/>
    </row>
    <row r="658" spans="1:23" ht="8.4499999999999993" customHeight="1"/>
    <row r="659" spans="1:23" ht="14.1" customHeight="1">
      <c r="S659" s="1573" t="s">
        <v>2345</v>
      </c>
      <c r="T659" s="1573"/>
      <c r="U659" s="1573"/>
      <c r="V659" s="1573"/>
      <c r="W659" s="1573"/>
    </row>
    <row r="660" spans="1:23" ht="7.15" customHeight="1">
      <c r="C660" s="1586" t="s">
        <v>2987</v>
      </c>
      <c r="D660" s="1586"/>
      <c r="E660" s="1586"/>
      <c r="F660" s="1586"/>
      <c r="G660" s="1586"/>
      <c r="H660" s="1586"/>
      <c r="I660" s="1586"/>
      <c r="J660" s="1586"/>
      <c r="K660" s="1586"/>
      <c r="L660" s="1586"/>
      <c r="M660" s="1586"/>
      <c r="N660" s="1586"/>
      <c r="O660" s="1586"/>
      <c r="P660" s="1586"/>
      <c r="Q660" s="1586"/>
      <c r="R660" s="1586"/>
      <c r="S660" s="1586"/>
      <c r="T660" s="1586"/>
    </row>
    <row r="661" spans="1:23" ht="9.6" customHeight="1">
      <c r="A661" s="1587"/>
      <c r="B661" s="1587"/>
      <c r="C661" s="1587"/>
      <c r="D661" s="1587"/>
      <c r="E661" s="1587"/>
      <c r="F661" s="1587"/>
      <c r="G661" s="1586"/>
      <c r="H661" s="1586"/>
      <c r="I661" s="1586"/>
      <c r="J661" s="1586"/>
      <c r="K661" s="1586"/>
      <c r="L661" s="1586"/>
      <c r="M661" s="1586"/>
      <c r="N661" s="1586"/>
      <c r="O661" s="1586"/>
      <c r="P661" s="1586"/>
      <c r="Q661" s="1586"/>
      <c r="R661" s="1586"/>
      <c r="S661" s="1586"/>
      <c r="T661" s="1586"/>
    </row>
    <row r="662" spans="1:23" ht="13.35" customHeight="1">
      <c r="A662" s="1587"/>
      <c r="B662" s="1587"/>
      <c r="C662" s="1587"/>
      <c r="D662" s="1587"/>
      <c r="E662" s="1587"/>
      <c r="F662" s="1587"/>
      <c r="G662" s="1588" t="s">
        <v>79</v>
      </c>
      <c r="H662" s="1588"/>
      <c r="I662" s="1588"/>
      <c r="J662" s="1588"/>
      <c r="K662" s="1588"/>
      <c r="L662" s="1588"/>
      <c r="M662" s="1588"/>
      <c r="N662" s="1588"/>
      <c r="O662" s="1588"/>
      <c r="P662" s="1588"/>
      <c r="Q662" s="1588"/>
      <c r="R662" s="1588"/>
    </row>
    <row r="663" spans="1:23" ht="5.25" customHeight="1">
      <c r="A663" s="1587"/>
      <c r="B663" s="1587"/>
      <c r="C663" s="1587"/>
      <c r="D663" s="1587"/>
      <c r="E663" s="1587"/>
      <c r="F663" s="1587"/>
      <c r="G663" s="1581" t="s">
        <v>7015</v>
      </c>
      <c r="H663" s="1581"/>
      <c r="I663" s="1581"/>
      <c r="J663" s="1581"/>
      <c r="K663" s="1581"/>
      <c r="L663" s="1581"/>
      <c r="M663" s="1581"/>
      <c r="N663" s="1581"/>
      <c r="O663" s="1581"/>
      <c r="P663" s="1581"/>
      <c r="Q663" s="1581"/>
    </row>
    <row r="664" spans="1:23" ht="8.1" customHeight="1">
      <c r="B664" s="1580" t="s">
        <v>1916</v>
      </c>
      <c r="C664" s="1580"/>
      <c r="D664" s="1580"/>
      <c r="E664" s="1580"/>
      <c r="F664" s="1580"/>
      <c r="G664" s="1580"/>
      <c r="H664" s="1581"/>
      <c r="I664" s="1581"/>
      <c r="J664" s="1581"/>
      <c r="K664" s="1581"/>
      <c r="L664" s="1581"/>
      <c r="M664" s="1581"/>
      <c r="N664" s="1582" t="s">
        <v>5619</v>
      </c>
      <c r="O664" s="1582"/>
      <c r="P664" s="1582"/>
      <c r="Q664" s="1582"/>
      <c r="R664" s="1582"/>
      <c r="S664" s="1582"/>
      <c r="T664" s="1583" t="s">
        <v>7016</v>
      </c>
      <c r="U664" s="1583"/>
      <c r="V664" s="1583"/>
      <c r="W664" s="1583"/>
    </row>
    <row r="665" spans="1:23" ht="6" customHeight="1">
      <c r="B665" s="1580"/>
      <c r="C665" s="1580"/>
      <c r="D665" s="1580"/>
      <c r="E665" s="1580"/>
      <c r="F665" s="1580"/>
      <c r="G665" s="1580"/>
      <c r="H665" s="1584" t="s">
        <v>7017</v>
      </c>
      <c r="I665" s="1584"/>
      <c r="J665" s="1584"/>
      <c r="K665" s="1584"/>
      <c r="L665" s="1584"/>
      <c r="M665" s="1584"/>
      <c r="N665" s="1582"/>
      <c r="O665" s="1582"/>
      <c r="P665" s="1582"/>
      <c r="Q665" s="1582"/>
      <c r="R665" s="1582"/>
      <c r="S665" s="1582"/>
      <c r="T665" s="1583"/>
      <c r="U665" s="1583"/>
      <c r="V665" s="1583"/>
      <c r="W665" s="1583"/>
    </row>
    <row r="666" spans="1:23" ht="7.35" customHeight="1">
      <c r="B666" s="1580" t="s">
        <v>1994</v>
      </c>
      <c r="C666" s="1580"/>
      <c r="D666" s="1580"/>
      <c r="E666" s="1585"/>
      <c r="F666" s="1585"/>
      <c r="G666" s="1585"/>
      <c r="H666" s="1585"/>
      <c r="I666" s="1585"/>
      <c r="J666" s="1585"/>
      <c r="K666" s="1585"/>
      <c r="L666" s="1585"/>
      <c r="M666" s="1585"/>
      <c r="N666" s="1585"/>
      <c r="O666" s="1585"/>
      <c r="P666" s="1585"/>
      <c r="Q666" s="1585"/>
      <c r="R666" s="1582"/>
      <c r="S666" s="1582"/>
      <c r="T666" s="1582" t="s">
        <v>7018</v>
      </c>
      <c r="U666" s="1582"/>
    </row>
    <row r="667" spans="1:23" ht="6.75" customHeight="1">
      <c r="E667" s="1585"/>
      <c r="F667" s="1585"/>
      <c r="G667" s="1585"/>
      <c r="H667" s="1585"/>
      <c r="I667" s="1585"/>
      <c r="J667" s="1585"/>
      <c r="K667" s="1585"/>
      <c r="L667" s="1585"/>
      <c r="M667" s="1585"/>
      <c r="N667" s="1585"/>
      <c r="O667" s="1585"/>
      <c r="P667" s="1585"/>
      <c r="Q667" s="1585"/>
      <c r="R667" s="1582"/>
      <c r="S667" s="1582"/>
      <c r="T667" s="1582"/>
      <c r="U667" s="1582"/>
    </row>
    <row r="668" spans="1:23" ht="10.9" customHeight="1">
      <c r="A668" s="1576"/>
      <c r="B668" s="1576"/>
      <c r="C668" s="1576"/>
      <c r="D668" s="1576"/>
      <c r="E668" s="1576"/>
      <c r="F668" s="1576"/>
      <c r="G668" s="1576"/>
      <c r="H668" s="1576"/>
      <c r="I668" s="1576"/>
      <c r="J668" s="1577" t="s">
        <v>1314</v>
      </c>
      <c r="K668" s="1577"/>
      <c r="L668" s="1577" t="s">
        <v>1315</v>
      </c>
      <c r="M668" s="1577"/>
      <c r="N668" s="1577"/>
      <c r="O668" s="1577" t="s">
        <v>1316</v>
      </c>
      <c r="P668" s="1577"/>
      <c r="Q668" s="1577"/>
      <c r="R668" s="1577"/>
      <c r="S668" s="1577"/>
      <c r="T668" s="1577"/>
      <c r="U668" s="1577"/>
    </row>
    <row r="669" spans="1:23" ht="14.1" customHeight="1">
      <c r="A669" s="1578" t="s">
        <v>1317</v>
      </c>
      <c r="B669" s="1578"/>
      <c r="C669" s="1578" t="s">
        <v>1318</v>
      </c>
      <c r="D669" s="1578"/>
      <c r="E669" s="1578"/>
      <c r="F669" s="1578" t="s">
        <v>1319</v>
      </c>
      <c r="G669" s="1578"/>
      <c r="H669" s="1578"/>
      <c r="I669" s="1578"/>
      <c r="J669" s="1413" t="s">
        <v>1320</v>
      </c>
      <c r="K669" s="1413" t="s">
        <v>1321</v>
      </c>
      <c r="L669" s="1413" t="s">
        <v>1320</v>
      </c>
      <c r="M669" s="1579" t="s">
        <v>1321</v>
      </c>
      <c r="N669" s="1579"/>
      <c r="O669" s="1579" t="s">
        <v>1320</v>
      </c>
      <c r="P669" s="1579"/>
      <c r="Q669" s="1579" t="s">
        <v>1321</v>
      </c>
      <c r="R669" s="1579"/>
      <c r="S669" s="1579"/>
      <c r="T669" s="1579"/>
      <c r="U669" s="1579"/>
    </row>
    <row r="670" spans="1:23" ht="14.1" customHeight="1">
      <c r="A670" s="1574" t="s">
        <v>1322</v>
      </c>
      <c r="B670" s="1574"/>
      <c r="C670" s="1574" t="s">
        <v>1556</v>
      </c>
      <c r="D670" s="1574"/>
      <c r="E670" s="1574"/>
      <c r="F670" s="1574" t="s">
        <v>195</v>
      </c>
      <c r="G670" s="1574"/>
      <c r="H670" s="1574"/>
      <c r="I670" s="1574"/>
      <c r="J670" s="1412">
        <v>226436771.86000001</v>
      </c>
      <c r="K670" s="1412">
        <v>0</v>
      </c>
      <c r="L670" s="1412">
        <v>188152.76</v>
      </c>
      <c r="M670" s="1575">
        <v>0</v>
      </c>
      <c r="N670" s="1575"/>
      <c r="O670" s="1575">
        <v>226624924.62</v>
      </c>
      <c r="P670" s="1575"/>
      <c r="Q670" s="1575">
        <v>0</v>
      </c>
      <c r="R670" s="1575"/>
      <c r="S670" s="1575"/>
      <c r="T670" s="1575"/>
      <c r="U670" s="1575"/>
    </row>
    <row r="671" spans="1:23" ht="10.9" customHeight="1">
      <c r="A671" s="1574" t="s">
        <v>1322</v>
      </c>
      <c r="B671" s="1574"/>
      <c r="C671" s="1574" t="s">
        <v>2199</v>
      </c>
      <c r="D671" s="1574"/>
      <c r="E671" s="1574"/>
      <c r="F671" s="1574" t="s">
        <v>2200</v>
      </c>
      <c r="G671" s="1574"/>
      <c r="H671" s="1574"/>
      <c r="I671" s="1574"/>
      <c r="J671" s="1412">
        <v>226436771.86000001</v>
      </c>
      <c r="K671" s="1412">
        <v>0</v>
      </c>
      <c r="L671" s="1412">
        <v>188152.76</v>
      </c>
      <c r="M671" s="1575">
        <v>0</v>
      </c>
      <c r="N671" s="1575"/>
      <c r="O671" s="1575">
        <v>226624924.62</v>
      </c>
      <c r="P671" s="1575"/>
      <c r="Q671" s="1575">
        <v>0</v>
      </c>
      <c r="R671" s="1575"/>
      <c r="S671" s="1575"/>
      <c r="T671" s="1575"/>
      <c r="U671" s="1575"/>
    </row>
    <row r="672" spans="1:23" ht="10.9" customHeight="1">
      <c r="A672" s="1574" t="s">
        <v>1322</v>
      </c>
      <c r="B672" s="1574"/>
      <c r="C672" s="1574" t="s">
        <v>1557</v>
      </c>
      <c r="D672" s="1574"/>
      <c r="E672" s="1574"/>
      <c r="F672" s="1574" t="s">
        <v>195</v>
      </c>
      <c r="G672" s="1574"/>
      <c r="H672" s="1574"/>
      <c r="I672" s="1574"/>
      <c r="J672" s="1412">
        <v>226436771.86000001</v>
      </c>
      <c r="K672" s="1412">
        <v>0</v>
      </c>
      <c r="L672" s="1412">
        <v>188152.76</v>
      </c>
      <c r="M672" s="1575">
        <v>0</v>
      </c>
      <c r="N672" s="1575"/>
      <c r="O672" s="1575">
        <v>226624924.62</v>
      </c>
      <c r="P672" s="1575"/>
      <c r="Q672" s="1575">
        <v>0</v>
      </c>
      <c r="R672" s="1575"/>
      <c r="S672" s="1575"/>
      <c r="T672" s="1575"/>
      <c r="U672" s="1575"/>
    </row>
    <row r="673" spans="1:21" ht="10.9" customHeight="1">
      <c r="A673" s="1574" t="s">
        <v>1322</v>
      </c>
      <c r="B673" s="1574"/>
      <c r="C673" s="1574" t="s">
        <v>2879</v>
      </c>
      <c r="D673" s="1574"/>
      <c r="E673" s="1574"/>
      <c r="F673" s="1574" t="s">
        <v>2880</v>
      </c>
      <c r="G673" s="1574"/>
      <c r="H673" s="1574"/>
      <c r="I673" s="1574"/>
      <c r="J673" s="1412">
        <v>968057.61</v>
      </c>
      <c r="K673" s="1412">
        <v>0</v>
      </c>
      <c r="L673" s="1412">
        <v>0</v>
      </c>
      <c r="M673" s="1575">
        <v>0</v>
      </c>
      <c r="N673" s="1575"/>
      <c r="O673" s="1575">
        <v>968057.61</v>
      </c>
      <c r="P673" s="1575"/>
      <c r="Q673" s="1575">
        <v>0</v>
      </c>
      <c r="R673" s="1575"/>
      <c r="S673" s="1575"/>
      <c r="T673" s="1575"/>
      <c r="U673" s="1575"/>
    </row>
    <row r="674" spans="1:21" ht="10.9" customHeight="1">
      <c r="A674" s="1574" t="s">
        <v>1322</v>
      </c>
      <c r="B674" s="1574"/>
      <c r="C674" s="1574" t="s">
        <v>2881</v>
      </c>
      <c r="D674" s="1574"/>
      <c r="E674" s="1574"/>
      <c r="F674" s="1574" t="s">
        <v>2882</v>
      </c>
      <c r="G674" s="1574"/>
      <c r="H674" s="1574"/>
      <c r="I674" s="1574"/>
      <c r="J674" s="1412">
        <v>0</v>
      </c>
      <c r="K674" s="1412">
        <v>0</v>
      </c>
      <c r="L674" s="1412">
        <v>0</v>
      </c>
      <c r="M674" s="1575">
        <v>0</v>
      </c>
      <c r="N674" s="1575"/>
      <c r="O674" s="1575">
        <v>0</v>
      </c>
      <c r="P674" s="1575"/>
      <c r="Q674" s="1575">
        <v>0</v>
      </c>
      <c r="R674" s="1575"/>
      <c r="S674" s="1575"/>
      <c r="T674" s="1575"/>
      <c r="U674" s="1575"/>
    </row>
    <row r="675" spans="1:21" ht="10.9" customHeight="1">
      <c r="A675" s="1574" t="s">
        <v>1322</v>
      </c>
      <c r="B675" s="1574"/>
      <c r="C675" s="1574" t="s">
        <v>3249</v>
      </c>
      <c r="D675" s="1574"/>
      <c r="E675" s="1574"/>
      <c r="F675" s="1574" t="s">
        <v>3250</v>
      </c>
      <c r="G675" s="1574"/>
      <c r="H675" s="1574"/>
      <c r="I675" s="1574"/>
      <c r="J675" s="1412">
        <v>0</v>
      </c>
      <c r="K675" s="1412">
        <v>0</v>
      </c>
      <c r="L675" s="1412">
        <v>0</v>
      </c>
      <c r="M675" s="1575">
        <v>0</v>
      </c>
      <c r="N675" s="1575"/>
      <c r="O675" s="1575">
        <v>0</v>
      </c>
      <c r="P675" s="1575"/>
      <c r="Q675" s="1575">
        <v>0</v>
      </c>
      <c r="R675" s="1575"/>
      <c r="S675" s="1575"/>
      <c r="T675" s="1575"/>
      <c r="U675" s="1575"/>
    </row>
    <row r="676" spans="1:21" ht="10.9" customHeight="1">
      <c r="A676" s="1574" t="s">
        <v>1322</v>
      </c>
      <c r="B676" s="1574"/>
      <c r="C676" s="1574" t="s">
        <v>5600</v>
      </c>
      <c r="D676" s="1574"/>
      <c r="E676" s="1574"/>
      <c r="F676" s="1574" t="s">
        <v>5601</v>
      </c>
      <c r="G676" s="1574"/>
      <c r="H676" s="1574"/>
      <c r="I676" s="1574"/>
      <c r="J676" s="1412">
        <v>968057.61</v>
      </c>
      <c r="K676" s="1412">
        <v>0</v>
      </c>
      <c r="L676" s="1412">
        <v>0</v>
      </c>
      <c r="M676" s="1575">
        <v>0</v>
      </c>
      <c r="N676" s="1575"/>
      <c r="O676" s="1575">
        <v>968057.61</v>
      </c>
      <c r="P676" s="1575"/>
      <c r="Q676" s="1575">
        <v>0</v>
      </c>
      <c r="R676" s="1575"/>
      <c r="S676" s="1575"/>
      <c r="T676" s="1575"/>
      <c r="U676" s="1575"/>
    </row>
    <row r="677" spans="1:21" ht="10.9" customHeight="1">
      <c r="A677" s="1574" t="s">
        <v>1322</v>
      </c>
      <c r="B677" s="1574"/>
      <c r="C677" s="1574" t="s">
        <v>5602</v>
      </c>
      <c r="D677" s="1574"/>
      <c r="E677" s="1574"/>
      <c r="F677" s="1574" t="s">
        <v>5603</v>
      </c>
      <c r="G677" s="1574"/>
      <c r="H677" s="1574"/>
      <c r="I677" s="1574"/>
      <c r="J677" s="1412">
        <v>968057.61</v>
      </c>
      <c r="K677" s="1412">
        <v>0</v>
      </c>
      <c r="L677" s="1412">
        <v>0</v>
      </c>
      <c r="M677" s="1575">
        <v>0</v>
      </c>
      <c r="N677" s="1575"/>
      <c r="O677" s="1575">
        <v>968057.61</v>
      </c>
      <c r="P677" s="1575"/>
      <c r="Q677" s="1575">
        <v>0</v>
      </c>
      <c r="R677" s="1575"/>
      <c r="S677" s="1575"/>
      <c r="T677" s="1575"/>
      <c r="U677" s="1575"/>
    </row>
    <row r="678" spans="1:21" ht="10.9" customHeight="1">
      <c r="A678" s="1574" t="s">
        <v>1322</v>
      </c>
      <c r="B678" s="1574"/>
      <c r="C678" s="1574" t="s">
        <v>2201</v>
      </c>
      <c r="D678" s="1574"/>
      <c r="E678" s="1574"/>
      <c r="F678" s="1574" t="s">
        <v>1013</v>
      </c>
      <c r="G678" s="1574"/>
      <c r="H678" s="1574"/>
      <c r="I678" s="1574"/>
      <c r="J678" s="1412">
        <v>12366082.060000001</v>
      </c>
      <c r="K678" s="1412">
        <v>0</v>
      </c>
      <c r="L678" s="1412">
        <v>0</v>
      </c>
      <c r="M678" s="1575">
        <v>0</v>
      </c>
      <c r="N678" s="1575"/>
      <c r="O678" s="1575">
        <v>12366082.060000001</v>
      </c>
      <c r="P678" s="1575"/>
      <c r="Q678" s="1575">
        <v>0</v>
      </c>
      <c r="R678" s="1575"/>
      <c r="S678" s="1575"/>
      <c r="T678" s="1575"/>
      <c r="U678" s="1575"/>
    </row>
    <row r="679" spans="1:21" ht="10.9" customHeight="1">
      <c r="A679" s="1574" t="s">
        <v>1322</v>
      </c>
      <c r="B679" s="1574"/>
      <c r="C679" s="1574" t="s">
        <v>1558</v>
      </c>
      <c r="D679" s="1574"/>
      <c r="E679" s="1574"/>
      <c r="F679" s="1574" t="s">
        <v>1559</v>
      </c>
      <c r="G679" s="1574"/>
      <c r="H679" s="1574"/>
      <c r="I679" s="1574"/>
      <c r="J679" s="1412">
        <v>3562906.59</v>
      </c>
      <c r="K679" s="1412">
        <v>0</v>
      </c>
      <c r="L679" s="1412">
        <v>0</v>
      </c>
      <c r="M679" s="1575">
        <v>0</v>
      </c>
      <c r="N679" s="1575"/>
      <c r="O679" s="1575">
        <v>3562906.59</v>
      </c>
      <c r="P679" s="1575"/>
      <c r="Q679" s="1575">
        <v>0</v>
      </c>
      <c r="R679" s="1575"/>
      <c r="S679" s="1575"/>
      <c r="T679" s="1575"/>
      <c r="U679" s="1575"/>
    </row>
    <row r="680" spans="1:21" ht="10.9" customHeight="1">
      <c r="A680" s="1574" t="s">
        <v>1322</v>
      </c>
      <c r="B680" s="1574"/>
      <c r="C680" s="1574" t="s">
        <v>1560</v>
      </c>
      <c r="D680" s="1574"/>
      <c r="E680" s="1574"/>
      <c r="F680" s="1574" t="s">
        <v>2202</v>
      </c>
      <c r="G680" s="1574"/>
      <c r="H680" s="1574"/>
      <c r="I680" s="1574"/>
      <c r="J680" s="1412">
        <v>1480899.76</v>
      </c>
      <c r="K680" s="1412">
        <v>0</v>
      </c>
      <c r="L680" s="1412">
        <v>0</v>
      </c>
      <c r="M680" s="1575">
        <v>0</v>
      </c>
      <c r="N680" s="1575"/>
      <c r="O680" s="1575">
        <v>1480899.76</v>
      </c>
      <c r="P680" s="1575"/>
      <c r="Q680" s="1575">
        <v>0</v>
      </c>
      <c r="R680" s="1575"/>
      <c r="S680" s="1575"/>
      <c r="T680" s="1575"/>
      <c r="U680" s="1575"/>
    </row>
    <row r="681" spans="1:21" ht="10.9" customHeight="1">
      <c r="A681" s="1574" t="s">
        <v>1322</v>
      </c>
      <c r="B681" s="1574"/>
      <c r="C681" s="1574" t="s">
        <v>1561</v>
      </c>
      <c r="D681" s="1574"/>
      <c r="E681" s="1574"/>
      <c r="F681" s="1574" t="s">
        <v>2203</v>
      </c>
      <c r="G681" s="1574"/>
      <c r="H681" s="1574"/>
      <c r="I681" s="1574"/>
      <c r="J681" s="1412">
        <v>2082006.83</v>
      </c>
      <c r="K681" s="1412">
        <v>0</v>
      </c>
      <c r="L681" s="1412">
        <v>0</v>
      </c>
      <c r="M681" s="1575">
        <v>0</v>
      </c>
      <c r="N681" s="1575"/>
      <c r="O681" s="1575">
        <v>2082006.83</v>
      </c>
      <c r="P681" s="1575"/>
      <c r="Q681" s="1575">
        <v>0</v>
      </c>
      <c r="R681" s="1575"/>
      <c r="S681" s="1575"/>
      <c r="T681" s="1575"/>
      <c r="U681" s="1575"/>
    </row>
    <row r="682" spans="1:21" ht="10.9" customHeight="1">
      <c r="A682" s="1574" t="s">
        <v>1322</v>
      </c>
      <c r="B682" s="1574"/>
      <c r="C682" s="1574" t="s">
        <v>1562</v>
      </c>
      <c r="D682" s="1574"/>
      <c r="E682" s="1574"/>
      <c r="F682" s="1574" t="s">
        <v>2996</v>
      </c>
      <c r="G682" s="1574"/>
      <c r="H682" s="1574"/>
      <c r="I682" s="1574"/>
      <c r="J682" s="1412">
        <v>4309336.95</v>
      </c>
      <c r="K682" s="1412">
        <v>0</v>
      </c>
      <c r="L682" s="1412">
        <v>0</v>
      </c>
      <c r="M682" s="1575">
        <v>0</v>
      </c>
      <c r="N682" s="1575"/>
      <c r="O682" s="1575">
        <v>4309336.95</v>
      </c>
      <c r="P682" s="1575"/>
      <c r="Q682" s="1575">
        <v>0</v>
      </c>
      <c r="R682" s="1575"/>
      <c r="S682" s="1575"/>
      <c r="T682" s="1575"/>
      <c r="U682" s="1575"/>
    </row>
    <row r="683" spans="1:21" ht="10.9" customHeight="1">
      <c r="A683" s="1574" t="s">
        <v>1322</v>
      </c>
      <c r="B683" s="1574"/>
      <c r="C683" s="1574" t="s">
        <v>1563</v>
      </c>
      <c r="D683" s="1574"/>
      <c r="E683" s="1574"/>
      <c r="F683" s="1574" t="s">
        <v>1564</v>
      </c>
      <c r="G683" s="1574"/>
      <c r="H683" s="1574"/>
      <c r="I683" s="1574"/>
      <c r="J683" s="1412">
        <v>4309336.95</v>
      </c>
      <c r="K683" s="1412">
        <v>0</v>
      </c>
      <c r="L683" s="1412">
        <v>0</v>
      </c>
      <c r="M683" s="1575">
        <v>0</v>
      </c>
      <c r="N683" s="1575"/>
      <c r="O683" s="1575">
        <v>4309336.95</v>
      </c>
      <c r="P683" s="1575"/>
      <c r="Q683" s="1575">
        <v>0</v>
      </c>
      <c r="R683" s="1575"/>
      <c r="S683" s="1575"/>
      <c r="T683" s="1575"/>
      <c r="U683" s="1575"/>
    </row>
    <row r="684" spans="1:21" ht="10.9" customHeight="1">
      <c r="A684" s="1574" t="s">
        <v>1322</v>
      </c>
      <c r="B684" s="1574"/>
      <c r="C684" s="1574" t="s">
        <v>1565</v>
      </c>
      <c r="D684" s="1574"/>
      <c r="E684" s="1574"/>
      <c r="F684" s="1574" t="s">
        <v>2204</v>
      </c>
      <c r="G684" s="1574"/>
      <c r="H684" s="1574"/>
      <c r="I684" s="1574"/>
      <c r="J684" s="1412">
        <v>4309336.95</v>
      </c>
      <c r="K684" s="1412">
        <v>0</v>
      </c>
      <c r="L684" s="1412">
        <v>0</v>
      </c>
      <c r="M684" s="1575">
        <v>0</v>
      </c>
      <c r="N684" s="1575"/>
      <c r="O684" s="1575">
        <v>4309336.95</v>
      </c>
      <c r="P684" s="1575"/>
      <c r="Q684" s="1575">
        <v>0</v>
      </c>
      <c r="R684" s="1575"/>
      <c r="S684" s="1575"/>
      <c r="T684" s="1575"/>
      <c r="U684" s="1575"/>
    </row>
    <row r="685" spans="1:21" ht="10.9" customHeight="1">
      <c r="A685" s="1574" t="s">
        <v>1322</v>
      </c>
      <c r="B685" s="1574"/>
      <c r="C685" s="1574" t="s">
        <v>1566</v>
      </c>
      <c r="D685" s="1574"/>
      <c r="E685" s="1574"/>
      <c r="F685" s="1574" t="s">
        <v>1567</v>
      </c>
      <c r="G685" s="1574"/>
      <c r="H685" s="1574"/>
      <c r="I685" s="1574"/>
      <c r="J685" s="1412">
        <v>4493838.5199999996</v>
      </c>
      <c r="K685" s="1412">
        <v>0</v>
      </c>
      <c r="L685" s="1412">
        <v>0</v>
      </c>
      <c r="M685" s="1575">
        <v>0</v>
      </c>
      <c r="N685" s="1575"/>
      <c r="O685" s="1575">
        <v>4493838.5199999996</v>
      </c>
      <c r="P685" s="1575"/>
      <c r="Q685" s="1575">
        <v>0</v>
      </c>
      <c r="R685" s="1575"/>
      <c r="S685" s="1575"/>
      <c r="T685" s="1575"/>
      <c r="U685" s="1575"/>
    </row>
    <row r="686" spans="1:21" ht="10.9" customHeight="1">
      <c r="A686" s="1574" t="s">
        <v>1322</v>
      </c>
      <c r="B686" s="1574"/>
      <c r="C686" s="1574" t="s">
        <v>1568</v>
      </c>
      <c r="D686" s="1574"/>
      <c r="E686" s="1574"/>
      <c r="F686" s="1574" t="s">
        <v>1569</v>
      </c>
      <c r="G686" s="1574"/>
      <c r="H686" s="1574"/>
      <c r="I686" s="1574"/>
      <c r="J686" s="1412">
        <v>4493838.5199999996</v>
      </c>
      <c r="K686" s="1412">
        <v>0</v>
      </c>
      <c r="L686" s="1412">
        <v>0</v>
      </c>
      <c r="M686" s="1575">
        <v>0</v>
      </c>
      <c r="N686" s="1575"/>
      <c r="O686" s="1575">
        <v>4493838.5199999996</v>
      </c>
      <c r="P686" s="1575"/>
      <c r="Q686" s="1575">
        <v>0</v>
      </c>
      <c r="R686" s="1575"/>
      <c r="S686" s="1575"/>
      <c r="T686" s="1575"/>
      <c r="U686" s="1575"/>
    </row>
    <row r="687" spans="1:21" ht="10.9" customHeight="1">
      <c r="A687" s="1574" t="s">
        <v>1322</v>
      </c>
      <c r="B687" s="1574"/>
      <c r="C687" s="1574" t="s">
        <v>1570</v>
      </c>
      <c r="D687" s="1574"/>
      <c r="E687" s="1574"/>
      <c r="F687" s="1574" t="s">
        <v>2206</v>
      </c>
      <c r="G687" s="1574"/>
      <c r="H687" s="1574"/>
      <c r="I687" s="1574"/>
      <c r="J687" s="1412">
        <v>4493838.5199999996</v>
      </c>
      <c r="K687" s="1412">
        <v>0</v>
      </c>
      <c r="L687" s="1412">
        <v>0</v>
      </c>
      <c r="M687" s="1575">
        <v>0</v>
      </c>
      <c r="N687" s="1575"/>
      <c r="O687" s="1575">
        <v>4493838.5199999996</v>
      </c>
      <c r="P687" s="1575"/>
      <c r="Q687" s="1575">
        <v>0</v>
      </c>
      <c r="R687" s="1575"/>
      <c r="S687" s="1575"/>
      <c r="T687" s="1575"/>
      <c r="U687" s="1575"/>
    </row>
    <row r="688" spans="1:21" ht="10.9" customHeight="1">
      <c r="A688" s="1574" t="s">
        <v>1322</v>
      </c>
      <c r="B688" s="1574"/>
      <c r="C688" s="1574" t="s">
        <v>1571</v>
      </c>
      <c r="D688" s="1574"/>
      <c r="E688" s="1574"/>
      <c r="F688" s="1574" t="s">
        <v>198</v>
      </c>
      <c r="G688" s="1574"/>
      <c r="H688" s="1574"/>
      <c r="I688" s="1574"/>
      <c r="J688" s="1412">
        <v>9131355.4499999993</v>
      </c>
      <c r="K688" s="1412">
        <v>0</v>
      </c>
      <c r="L688" s="1412">
        <v>0</v>
      </c>
      <c r="M688" s="1575">
        <v>0</v>
      </c>
      <c r="N688" s="1575"/>
      <c r="O688" s="1575">
        <v>9131355.4499999993</v>
      </c>
      <c r="P688" s="1575"/>
      <c r="Q688" s="1575">
        <v>0</v>
      </c>
      <c r="R688" s="1575"/>
      <c r="S688" s="1575"/>
      <c r="T688" s="1575"/>
      <c r="U688" s="1575"/>
    </row>
    <row r="689" spans="1:21" ht="10.9" customHeight="1">
      <c r="A689" s="1574" t="s">
        <v>1322</v>
      </c>
      <c r="B689" s="1574"/>
      <c r="C689" s="1574" t="s">
        <v>2207</v>
      </c>
      <c r="D689" s="1574"/>
      <c r="E689" s="1574"/>
      <c r="F689" s="1574" t="s">
        <v>2208</v>
      </c>
      <c r="G689" s="1574"/>
      <c r="H689" s="1574"/>
      <c r="I689" s="1574"/>
      <c r="J689" s="1412">
        <v>9052479.2899999991</v>
      </c>
      <c r="K689" s="1412">
        <v>0</v>
      </c>
      <c r="L689" s="1412">
        <v>0</v>
      </c>
      <c r="M689" s="1575">
        <v>0</v>
      </c>
      <c r="N689" s="1575"/>
      <c r="O689" s="1575">
        <v>9052479.2899999991</v>
      </c>
      <c r="P689" s="1575"/>
      <c r="Q689" s="1575">
        <v>0</v>
      </c>
      <c r="R689" s="1575"/>
      <c r="S689" s="1575"/>
      <c r="T689" s="1575"/>
      <c r="U689" s="1575"/>
    </row>
    <row r="690" spans="1:21" ht="10.9" customHeight="1">
      <c r="A690" s="1574" t="s">
        <v>1322</v>
      </c>
      <c r="B690" s="1574"/>
      <c r="C690" s="1574" t="s">
        <v>2209</v>
      </c>
      <c r="D690" s="1574"/>
      <c r="E690" s="1574"/>
      <c r="F690" s="1574" t="s">
        <v>2210</v>
      </c>
      <c r="G690" s="1574"/>
      <c r="H690" s="1574"/>
      <c r="I690" s="1574"/>
      <c r="J690" s="1412">
        <v>9052479.2899999991</v>
      </c>
      <c r="K690" s="1412">
        <v>0</v>
      </c>
      <c r="L690" s="1412">
        <v>0</v>
      </c>
      <c r="M690" s="1575">
        <v>0</v>
      </c>
      <c r="N690" s="1575"/>
      <c r="O690" s="1575">
        <v>9052479.2899999991</v>
      </c>
      <c r="P690" s="1575"/>
      <c r="Q690" s="1575">
        <v>0</v>
      </c>
      <c r="R690" s="1575"/>
      <c r="S690" s="1575"/>
      <c r="T690" s="1575"/>
      <c r="U690" s="1575"/>
    </row>
    <row r="691" spans="1:21" ht="10.9" customHeight="1">
      <c r="A691" s="1574" t="s">
        <v>1322</v>
      </c>
      <c r="B691" s="1574"/>
      <c r="C691" s="1574" t="s">
        <v>2211</v>
      </c>
      <c r="D691" s="1574"/>
      <c r="E691" s="1574"/>
      <c r="F691" s="1574" t="s">
        <v>2212</v>
      </c>
      <c r="G691" s="1574"/>
      <c r="H691" s="1574"/>
      <c r="I691" s="1574"/>
      <c r="J691" s="1412">
        <v>78876.160000000003</v>
      </c>
      <c r="K691" s="1412">
        <v>0</v>
      </c>
      <c r="L691" s="1412">
        <v>0</v>
      </c>
      <c r="M691" s="1575">
        <v>0</v>
      </c>
      <c r="N691" s="1575"/>
      <c r="O691" s="1575">
        <v>78876.160000000003</v>
      </c>
      <c r="P691" s="1575"/>
      <c r="Q691" s="1575">
        <v>0</v>
      </c>
      <c r="R691" s="1575"/>
      <c r="S691" s="1575"/>
      <c r="T691" s="1575"/>
      <c r="U691" s="1575"/>
    </row>
    <row r="692" spans="1:21" ht="10.9" customHeight="1">
      <c r="A692" s="1574" t="s">
        <v>1322</v>
      </c>
      <c r="B692" s="1574"/>
      <c r="C692" s="1574" t="s">
        <v>2213</v>
      </c>
      <c r="D692" s="1574"/>
      <c r="E692" s="1574"/>
      <c r="F692" s="1574" t="s">
        <v>2212</v>
      </c>
      <c r="G692" s="1574"/>
      <c r="H692" s="1574"/>
      <c r="I692" s="1574"/>
      <c r="J692" s="1412">
        <v>78876.160000000003</v>
      </c>
      <c r="K692" s="1412">
        <v>0</v>
      </c>
      <c r="L692" s="1412">
        <v>0</v>
      </c>
      <c r="M692" s="1575">
        <v>0</v>
      </c>
      <c r="N692" s="1575"/>
      <c r="O692" s="1575">
        <v>78876.160000000003</v>
      </c>
      <c r="P692" s="1575"/>
      <c r="Q692" s="1575">
        <v>0</v>
      </c>
      <c r="R692" s="1575"/>
      <c r="S692" s="1575"/>
      <c r="T692" s="1575"/>
      <c r="U692" s="1575"/>
    </row>
    <row r="693" spans="1:21" ht="19.149999999999999" customHeight="1">
      <c r="A693" s="1574" t="s">
        <v>345</v>
      </c>
      <c r="B693" s="1574"/>
      <c r="C693" s="1574" t="s">
        <v>2214</v>
      </c>
      <c r="D693" s="1574"/>
      <c r="E693" s="1574"/>
      <c r="F693" s="1574" t="s">
        <v>1014</v>
      </c>
      <c r="G693" s="1574"/>
      <c r="H693" s="1574"/>
      <c r="I693" s="1574"/>
      <c r="J693" s="1412">
        <v>0</v>
      </c>
      <c r="K693" s="1412">
        <v>40041492.259999998</v>
      </c>
      <c r="L693" s="1412">
        <v>0</v>
      </c>
      <c r="M693" s="1575">
        <v>720903.32</v>
      </c>
      <c r="N693" s="1575"/>
      <c r="O693" s="1575">
        <v>0</v>
      </c>
      <c r="P693" s="1575"/>
      <c r="Q693" s="1575">
        <v>40762395.579999998</v>
      </c>
      <c r="R693" s="1575"/>
      <c r="S693" s="1575"/>
      <c r="T693" s="1575"/>
      <c r="U693" s="1575"/>
    </row>
    <row r="694" spans="1:21" ht="10.9" customHeight="1">
      <c r="A694" s="1574" t="s">
        <v>345</v>
      </c>
      <c r="B694" s="1574"/>
      <c r="C694" s="1574" t="s">
        <v>1572</v>
      </c>
      <c r="D694" s="1574"/>
      <c r="E694" s="1574"/>
      <c r="F694" s="1574" t="s">
        <v>1573</v>
      </c>
      <c r="G694" s="1574"/>
      <c r="H694" s="1574"/>
      <c r="I694" s="1574"/>
      <c r="J694" s="1412">
        <v>0</v>
      </c>
      <c r="K694" s="1412">
        <v>31779971.350000001</v>
      </c>
      <c r="L694" s="1412">
        <v>0</v>
      </c>
      <c r="M694" s="1575">
        <v>631254.56000000006</v>
      </c>
      <c r="N694" s="1575"/>
      <c r="O694" s="1575">
        <v>0</v>
      </c>
      <c r="P694" s="1575"/>
      <c r="Q694" s="1575">
        <v>32411225.91</v>
      </c>
      <c r="R694" s="1575"/>
      <c r="S694" s="1575"/>
      <c r="T694" s="1575"/>
      <c r="U694" s="1575"/>
    </row>
    <row r="695" spans="1:21" ht="10.9" customHeight="1">
      <c r="A695" s="1574" t="s">
        <v>345</v>
      </c>
      <c r="B695" s="1574"/>
      <c r="C695" s="1574" t="s">
        <v>1574</v>
      </c>
      <c r="D695" s="1574"/>
      <c r="E695" s="1574"/>
      <c r="F695" s="1574" t="s">
        <v>2215</v>
      </c>
      <c r="G695" s="1574"/>
      <c r="H695" s="1574"/>
      <c r="I695" s="1574"/>
      <c r="J695" s="1412">
        <v>0</v>
      </c>
      <c r="K695" s="1412">
        <v>31779971.350000001</v>
      </c>
      <c r="L695" s="1412">
        <v>0</v>
      </c>
      <c r="M695" s="1575">
        <v>631254.56000000006</v>
      </c>
      <c r="N695" s="1575"/>
      <c r="O695" s="1575">
        <v>0</v>
      </c>
      <c r="P695" s="1575"/>
      <c r="Q695" s="1575">
        <v>32411225.91</v>
      </c>
      <c r="R695" s="1575"/>
      <c r="S695" s="1575"/>
      <c r="T695" s="1575"/>
      <c r="U695" s="1575"/>
    </row>
    <row r="696" spans="1:21" ht="10.9" customHeight="1">
      <c r="A696" s="1574" t="s">
        <v>345</v>
      </c>
      <c r="B696" s="1574"/>
      <c r="C696" s="1574" t="s">
        <v>1575</v>
      </c>
      <c r="D696" s="1574"/>
      <c r="E696" s="1574"/>
      <c r="F696" s="1574" t="s">
        <v>200</v>
      </c>
      <c r="G696" s="1574"/>
      <c r="H696" s="1574"/>
      <c r="I696" s="1574"/>
      <c r="J696" s="1412">
        <v>0</v>
      </c>
      <c r="K696" s="1412">
        <v>8261520.9100000001</v>
      </c>
      <c r="L696" s="1412">
        <v>0</v>
      </c>
      <c r="M696" s="1575">
        <v>89648.76</v>
      </c>
      <c r="N696" s="1575"/>
      <c r="O696" s="1575">
        <v>0</v>
      </c>
      <c r="P696" s="1575"/>
      <c r="Q696" s="1575">
        <v>8351169.6699999999</v>
      </c>
      <c r="R696" s="1575"/>
      <c r="S696" s="1575"/>
      <c r="T696" s="1575"/>
      <c r="U696" s="1575"/>
    </row>
    <row r="697" spans="1:21" ht="10.9" customHeight="1">
      <c r="A697" s="1574" t="s">
        <v>345</v>
      </c>
      <c r="B697" s="1574"/>
      <c r="C697" s="1574" t="s">
        <v>1576</v>
      </c>
      <c r="D697" s="1574"/>
      <c r="E697" s="1574"/>
      <c r="F697" s="1574" t="s">
        <v>2216</v>
      </c>
      <c r="G697" s="1574"/>
      <c r="H697" s="1574"/>
      <c r="I697" s="1574"/>
      <c r="J697" s="1412">
        <v>0</v>
      </c>
      <c r="K697" s="1412">
        <v>1268397.42</v>
      </c>
      <c r="L697" s="1412">
        <v>0</v>
      </c>
      <c r="M697" s="1575">
        <v>3033.43</v>
      </c>
      <c r="N697" s="1575"/>
      <c r="O697" s="1575">
        <v>0</v>
      </c>
      <c r="P697" s="1575"/>
      <c r="Q697" s="1575">
        <v>1271430.8500000001</v>
      </c>
      <c r="R697" s="1575"/>
      <c r="S697" s="1575"/>
      <c r="T697" s="1575"/>
      <c r="U697" s="1575"/>
    </row>
    <row r="698" spans="1:21" ht="10.9" customHeight="1">
      <c r="A698" s="1574" t="s">
        <v>345</v>
      </c>
      <c r="B698" s="1574"/>
      <c r="C698" s="1574" t="s">
        <v>1577</v>
      </c>
      <c r="D698" s="1574"/>
      <c r="E698" s="1574"/>
      <c r="F698" s="1574" t="s">
        <v>2217</v>
      </c>
      <c r="G698" s="1574"/>
      <c r="H698" s="1574"/>
      <c r="I698" s="1574"/>
      <c r="J698" s="1412">
        <v>0</v>
      </c>
      <c r="K698" s="1412">
        <v>1564983.36</v>
      </c>
      <c r="L698" s="1412">
        <v>0</v>
      </c>
      <c r="M698" s="1575">
        <v>32597.79</v>
      </c>
      <c r="N698" s="1575"/>
      <c r="O698" s="1575">
        <v>0</v>
      </c>
      <c r="P698" s="1575"/>
      <c r="Q698" s="1575">
        <v>1597581.15</v>
      </c>
      <c r="R698" s="1575"/>
      <c r="S698" s="1575"/>
      <c r="T698" s="1575"/>
      <c r="U698" s="1575"/>
    </row>
    <row r="699" spans="1:21" ht="10.9" customHeight="1">
      <c r="A699" s="1574" t="s">
        <v>345</v>
      </c>
      <c r="B699" s="1574"/>
      <c r="C699" s="1574" t="s">
        <v>1578</v>
      </c>
      <c r="D699" s="1574"/>
      <c r="E699" s="1574"/>
      <c r="F699" s="1574" t="s">
        <v>2218</v>
      </c>
      <c r="G699" s="1574"/>
      <c r="H699" s="1574"/>
      <c r="I699" s="1574"/>
      <c r="J699" s="1412">
        <v>0</v>
      </c>
      <c r="K699" s="1412">
        <v>2874566.44</v>
      </c>
      <c r="L699" s="1412">
        <v>0</v>
      </c>
      <c r="M699" s="1575">
        <v>31022.33</v>
      </c>
      <c r="N699" s="1575"/>
      <c r="O699" s="1575">
        <v>0</v>
      </c>
      <c r="P699" s="1575"/>
      <c r="Q699" s="1575">
        <v>2905588.77</v>
      </c>
      <c r="R699" s="1575"/>
      <c r="S699" s="1575"/>
      <c r="T699" s="1575"/>
      <c r="U699" s="1575"/>
    </row>
    <row r="700" spans="1:21" ht="10.9" customHeight="1">
      <c r="A700" s="1574" t="s">
        <v>345</v>
      </c>
      <c r="B700" s="1574"/>
      <c r="C700" s="1574" t="s">
        <v>1579</v>
      </c>
      <c r="D700" s="1574"/>
      <c r="E700" s="1574"/>
      <c r="F700" s="1574" t="s">
        <v>2219</v>
      </c>
      <c r="G700" s="1574"/>
      <c r="H700" s="1574"/>
      <c r="I700" s="1574"/>
      <c r="J700" s="1412">
        <v>0</v>
      </c>
      <c r="K700" s="1412">
        <v>2553573.69</v>
      </c>
      <c r="L700" s="1412">
        <v>0</v>
      </c>
      <c r="M700" s="1575">
        <v>22995.21</v>
      </c>
      <c r="N700" s="1575"/>
      <c r="O700" s="1575">
        <v>0</v>
      </c>
      <c r="P700" s="1575"/>
      <c r="Q700" s="1575">
        <v>2576568.9</v>
      </c>
      <c r="R700" s="1575"/>
      <c r="S700" s="1575"/>
      <c r="T700" s="1575"/>
      <c r="U700" s="1575"/>
    </row>
    <row r="701" spans="1:21" ht="10.9" customHeight="1">
      <c r="A701" s="1574" t="s">
        <v>345</v>
      </c>
      <c r="B701" s="1574"/>
      <c r="C701" s="1574" t="s">
        <v>2220</v>
      </c>
      <c r="D701" s="1574"/>
      <c r="E701" s="1574"/>
      <c r="F701" s="1574" t="s">
        <v>669</v>
      </c>
      <c r="G701" s="1574"/>
      <c r="H701" s="1574"/>
      <c r="I701" s="1574"/>
      <c r="J701" s="1412">
        <v>0</v>
      </c>
      <c r="K701" s="1412">
        <v>1425875.19</v>
      </c>
      <c r="L701" s="1412">
        <v>11421026.720000001</v>
      </c>
      <c r="M701" s="1575">
        <v>12713258.449999999</v>
      </c>
      <c r="N701" s="1575"/>
      <c r="O701" s="1575">
        <v>0</v>
      </c>
      <c r="P701" s="1575"/>
      <c r="Q701" s="1575">
        <v>2718106.92</v>
      </c>
      <c r="R701" s="1575"/>
      <c r="S701" s="1575"/>
      <c r="T701" s="1575"/>
      <c r="U701" s="1575"/>
    </row>
    <row r="702" spans="1:21" ht="10.9" customHeight="1">
      <c r="A702" s="1574" t="s">
        <v>345</v>
      </c>
      <c r="B702" s="1574"/>
      <c r="C702" s="1574" t="s">
        <v>2221</v>
      </c>
      <c r="D702" s="1574"/>
      <c r="E702" s="1574"/>
      <c r="F702" s="1574" t="s">
        <v>2222</v>
      </c>
      <c r="G702" s="1574"/>
      <c r="H702" s="1574"/>
      <c r="I702" s="1574"/>
      <c r="J702" s="1412">
        <v>0</v>
      </c>
      <c r="K702" s="1412">
        <v>1425875.19</v>
      </c>
      <c r="L702" s="1412">
        <v>11421026.720000001</v>
      </c>
      <c r="M702" s="1575">
        <v>12713258.449999999</v>
      </c>
      <c r="N702" s="1575"/>
      <c r="O702" s="1575">
        <v>0</v>
      </c>
      <c r="P702" s="1575"/>
      <c r="Q702" s="1575">
        <v>2718106.92</v>
      </c>
      <c r="R702" s="1575"/>
      <c r="S702" s="1575"/>
      <c r="T702" s="1575"/>
      <c r="U702" s="1575"/>
    </row>
    <row r="703" spans="1:21" ht="10.9" customHeight="1">
      <c r="A703" s="1574" t="s">
        <v>345</v>
      </c>
      <c r="B703" s="1574"/>
      <c r="C703" s="1574" t="s">
        <v>2223</v>
      </c>
      <c r="D703" s="1574"/>
      <c r="E703" s="1574"/>
      <c r="F703" s="1574" t="s">
        <v>2224</v>
      </c>
      <c r="G703" s="1574"/>
      <c r="H703" s="1574"/>
      <c r="I703" s="1574"/>
      <c r="J703" s="1412">
        <v>0</v>
      </c>
      <c r="K703" s="1412">
        <v>1406289.04</v>
      </c>
      <c r="L703" s="1412">
        <v>11401440.57</v>
      </c>
      <c r="M703" s="1575">
        <v>12713212.060000001</v>
      </c>
      <c r="N703" s="1575"/>
      <c r="O703" s="1575">
        <v>0</v>
      </c>
      <c r="P703" s="1575"/>
      <c r="Q703" s="1575">
        <v>2718060.53</v>
      </c>
      <c r="R703" s="1575"/>
      <c r="S703" s="1575"/>
      <c r="T703" s="1575"/>
      <c r="U703" s="1575"/>
    </row>
    <row r="704" spans="1:21" ht="10.9" customHeight="1">
      <c r="A704" s="1574" t="s">
        <v>345</v>
      </c>
      <c r="B704" s="1574"/>
      <c r="C704" s="1574" t="s">
        <v>1580</v>
      </c>
      <c r="D704" s="1574"/>
      <c r="E704" s="1574"/>
      <c r="F704" s="1574" t="s">
        <v>1581</v>
      </c>
      <c r="G704" s="1574"/>
      <c r="H704" s="1574"/>
      <c r="I704" s="1574"/>
      <c r="J704" s="1412">
        <v>0</v>
      </c>
      <c r="K704" s="1412">
        <v>0</v>
      </c>
      <c r="L704" s="1412">
        <v>2390994</v>
      </c>
      <c r="M704" s="1575">
        <v>2390994</v>
      </c>
      <c r="N704" s="1575"/>
      <c r="O704" s="1575">
        <v>0</v>
      </c>
      <c r="P704" s="1575"/>
      <c r="Q704" s="1575">
        <v>0</v>
      </c>
      <c r="R704" s="1575"/>
      <c r="S704" s="1575"/>
      <c r="T704" s="1575"/>
      <c r="U704" s="1575"/>
    </row>
    <row r="705" spans="1:23" ht="19.149999999999999" customHeight="1">
      <c r="A705" s="1574" t="s">
        <v>345</v>
      </c>
      <c r="B705" s="1574"/>
      <c r="C705" s="1574" t="s">
        <v>1582</v>
      </c>
      <c r="D705" s="1574"/>
      <c r="E705" s="1574"/>
      <c r="F705" s="1574" t="s">
        <v>2225</v>
      </c>
      <c r="G705" s="1574"/>
      <c r="H705" s="1574"/>
      <c r="I705" s="1574"/>
      <c r="J705" s="1412">
        <v>0</v>
      </c>
      <c r="K705" s="1412">
        <v>0</v>
      </c>
      <c r="L705" s="1412">
        <v>777624.3</v>
      </c>
      <c r="M705" s="1575">
        <v>777624.3</v>
      </c>
      <c r="N705" s="1575"/>
      <c r="O705" s="1575">
        <v>0</v>
      </c>
      <c r="P705" s="1575"/>
      <c r="Q705" s="1575">
        <v>0</v>
      </c>
      <c r="R705" s="1575"/>
      <c r="S705" s="1575"/>
      <c r="T705" s="1575"/>
      <c r="U705" s="1575"/>
    </row>
    <row r="706" spans="1:23" ht="10.9" customHeight="1">
      <c r="A706" s="1574" t="s">
        <v>345</v>
      </c>
      <c r="B706" s="1574"/>
      <c r="C706" s="1574" t="s">
        <v>2226</v>
      </c>
      <c r="D706" s="1574"/>
      <c r="E706" s="1574"/>
      <c r="F706" s="1574" t="s">
        <v>2227</v>
      </c>
      <c r="G706" s="1574"/>
      <c r="H706" s="1574"/>
      <c r="I706" s="1574"/>
      <c r="J706" s="1412">
        <v>0</v>
      </c>
      <c r="K706" s="1412">
        <v>0</v>
      </c>
      <c r="L706" s="1412">
        <v>777624.3</v>
      </c>
      <c r="M706" s="1575">
        <v>777624.3</v>
      </c>
      <c r="N706" s="1575"/>
      <c r="O706" s="1575">
        <v>0</v>
      </c>
      <c r="P706" s="1575"/>
      <c r="Q706" s="1575">
        <v>0</v>
      </c>
      <c r="R706" s="1575"/>
      <c r="S706" s="1575"/>
      <c r="T706" s="1575"/>
      <c r="U706" s="1575"/>
    </row>
    <row r="707" spans="1:23" ht="10.9" customHeight="1">
      <c r="A707" s="1574" t="s">
        <v>345</v>
      </c>
      <c r="B707" s="1574"/>
      <c r="C707" s="1574" t="s">
        <v>1583</v>
      </c>
      <c r="D707" s="1574"/>
      <c r="E707" s="1574"/>
      <c r="F707" s="1574" t="s">
        <v>2228</v>
      </c>
      <c r="G707" s="1574"/>
      <c r="H707" s="1574"/>
      <c r="I707" s="1574"/>
      <c r="J707" s="1412">
        <v>0</v>
      </c>
      <c r="K707" s="1412">
        <v>0</v>
      </c>
      <c r="L707" s="1412">
        <v>1358022.02</v>
      </c>
      <c r="M707" s="1575">
        <v>1358022.02</v>
      </c>
      <c r="N707" s="1575"/>
      <c r="O707" s="1575">
        <v>0</v>
      </c>
      <c r="P707" s="1575"/>
      <c r="Q707" s="1575">
        <v>0</v>
      </c>
      <c r="R707" s="1575"/>
      <c r="S707" s="1575"/>
      <c r="T707" s="1575"/>
      <c r="U707" s="1575"/>
    </row>
    <row r="708" spans="1:23" ht="10.9" customHeight="1">
      <c r="A708" s="1574" t="s">
        <v>345</v>
      </c>
      <c r="B708" s="1574"/>
      <c r="C708" s="1574" t="s">
        <v>6547</v>
      </c>
      <c r="D708" s="1574"/>
      <c r="E708" s="1574"/>
      <c r="F708" s="1574" t="s">
        <v>6548</v>
      </c>
      <c r="G708" s="1574"/>
      <c r="H708" s="1574"/>
      <c r="I708" s="1574"/>
      <c r="J708" s="1412">
        <v>0</v>
      </c>
      <c r="K708" s="1412">
        <v>0</v>
      </c>
      <c r="L708" s="1412">
        <v>1292908.6599999999</v>
      </c>
      <c r="M708" s="1575">
        <v>1292908.6599999999</v>
      </c>
      <c r="N708" s="1575"/>
      <c r="O708" s="1575">
        <v>0</v>
      </c>
      <c r="P708" s="1575"/>
      <c r="Q708" s="1575">
        <v>0</v>
      </c>
      <c r="R708" s="1575"/>
      <c r="S708" s="1575"/>
      <c r="T708" s="1575"/>
      <c r="U708" s="1575"/>
    </row>
    <row r="709" spans="1:23" ht="5.85" customHeight="1"/>
    <row r="710" spans="1:23" ht="14.1" customHeight="1">
      <c r="S710" s="1573" t="s">
        <v>2378</v>
      </c>
      <c r="T710" s="1573"/>
      <c r="U710" s="1573"/>
      <c r="V710" s="1573"/>
      <c r="W710" s="1573"/>
    </row>
    <row r="711" spans="1:23" ht="7.15" customHeight="1">
      <c r="C711" s="1586" t="s">
        <v>2987</v>
      </c>
      <c r="D711" s="1586"/>
      <c r="E711" s="1586"/>
      <c r="F711" s="1586"/>
      <c r="G711" s="1586"/>
      <c r="H711" s="1586"/>
      <c r="I711" s="1586"/>
      <c r="J711" s="1586"/>
      <c r="K711" s="1586"/>
      <c r="L711" s="1586"/>
      <c r="M711" s="1586"/>
      <c r="N711" s="1586"/>
      <c r="O711" s="1586"/>
      <c r="P711" s="1586"/>
      <c r="Q711" s="1586"/>
      <c r="R711" s="1586"/>
      <c r="S711" s="1586"/>
      <c r="T711" s="1586"/>
    </row>
    <row r="712" spans="1:23" ht="9.6" customHeight="1">
      <c r="A712" s="1587"/>
      <c r="B712" s="1587"/>
      <c r="C712" s="1587"/>
      <c r="D712" s="1587"/>
      <c r="E712" s="1587"/>
      <c r="F712" s="1587"/>
      <c r="G712" s="1586"/>
      <c r="H712" s="1586"/>
      <c r="I712" s="1586"/>
      <c r="J712" s="1586"/>
      <c r="K712" s="1586"/>
      <c r="L712" s="1586"/>
      <c r="M712" s="1586"/>
      <c r="N712" s="1586"/>
      <c r="O712" s="1586"/>
      <c r="P712" s="1586"/>
      <c r="Q712" s="1586"/>
      <c r="R712" s="1586"/>
      <c r="S712" s="1586"/>
      <c r="T712" s="1586"/>
    </row>
    <row r="713" spans="1:23" ht="13.35" customHeight="1">
      <c r="A713" s="1587"/>
      <c r="B713" s="1587"/>
      <c r="C713" s="1587"/>
      <c r="D713" s="1587"/>
      <c r="E713" s="1587"/>
      <c r="F713" s="1587"/>
      <c r="G713" s="1588" t="s">
        <v>79</v>
      </c>
      <c r="H713" s="1588"/>
      <c r="I713" s="1588"/>
      <c r="J713" s="1588"/>
      <c r="K713" s="1588"/>
      <c r="L713" s="1588"/>
      <c r="M713" s="1588"/>
      <c r="N713" s="1588"/>
      <c r="O713" s="1588"/>
      <c r="P713" s="1588"/>
      <c r="Q713" s="1588"/>
      <c r="R713" s="1588"/>
    </row>
    <row r="714" spans="1:23" ht="5.25" customHeight="1">
      <c r="A714" s="1587"/>
      <c r="B714" s="1587"/>
      <c r="C714" s="1587"/>
      <c r="D714" s="1587"/>
      <c r="E714" s="1587"/>
      <c r="F714" s="1587"/>
      <c r="G714" s="1581" t="s">
        <v>7015</v>
      </c>
      <c r="H714" s="1581"/>
      <c r="I714" s="1581"/>
      <c r="J714" s="1581"/>
      <c r="K714" s="1581"/>
      <c r="L714" s="1581"/>
      <c r="M714" s="1581"/>
      <c r="N714" s="1581"/>
      <c r="O714" s="1581"/>
      <c r="P714" s="1581"/>
      <c r="Q714" s="1581"/>
    </row>
    <row r="715" spans="1:23" ht="8.1" customHeight="1">
      <c r="B715" s="1580" t="s">
        <v>1916</v>
      </c>
      <c r="C715" s="1580"/>
      <c r="D715" s="1580"/>
      <c r="E715" s="1580"/>
      <c r="F715" s="1580"/>
      <c r="G715" s="1580"/>
      <c r="H715" s="1581"/>
      <c r="I715" s="1581"/>
      <c r="J715" s="1581"/>
      <c r="K715" s="1581"/>
      <c r="L715" s="1581"/>
      <c r="M715" s="1581"/>
      <c r="N715" s="1582" t="s">
        <v>5619</v>
      </c>
      <c r="O715" s="1582"/>
      <c r="P715" s="1582"/>
      <c r="Q715" s="1582"/>
      <c r="R715" s="1582"/>
      <c r="S715" s="1582"/>
      <c r="T715" s="1583" t="s">
        <v>7016</v>
      </c>
      <c r="U715" s="1583"/>
      <c r="V715" s="1583"/>
      <c r="W715" s="1583"/>
    </row>
    <row r="716" spans="1:23" ht="6" customHeight="1">
      <c r="B716" s="1580"/>
      <c r="C716" s="1580"/>
      <c r="D716" s="1580"/>
      <c r="E716" s="1580"/>
      <c r="F716" s="1580"/>
      <c r="G716" s="1580"/>
      <c r="H716" s="1584" t="s">
        <v>7017</v>
      </c>
      <c r="I716" s="1584"/>
      <c r="J716" s="1584"/>
      <c r="K716" s="1584"/>
      <c r="L716" s="1584"/>
      <c r="M716" s="1584"/>
      <c r="N716" s="1582"/>
      <c r="O716" s="1582"/>
      <c r="P716" s="1582"/>
      <c r="Q716" s="1582"/>
      <c r="R716" s="1582"/>
      <c r="S716" s="1582"/>
      <c r="T716" s="1583"/>
      <c r="U716" s="1583"/>
      <c r="V716" s="1583"/>
      <c r="W716" s="1583"/>
    </row>
    <row r="717" spans="1:23" ht="7.35" customHeight="1">
      <c r="B717" s="1580" t="s">
        <v>1994</v>
      </c>
      <c r="C717" s="1580"/>
      <c r="D717" s="1580"/>
      <c r="E717" s="1585"/>
      <c r="F717" s="1585"/>
      <c r="G717" s="1585"/>
      <c r="H717" s="1585"/>
      <c r="I717" s="1585"/>
      <c r="J717" s="1585"/>
      <c r="K717" s="1585"/>
      <c r="L717" s="1585"/>
      <c r="M717" s="1585"/>
      <c r="N717" s="1585"/>
      <c r="O717" s="1585"/>
      <c r="P717" s="1585"/>
      <c r="Q717" s="1585"/>
      <c r="R717" s="1582"/>
      <c r="S717" s="1582"/>
      <c r="T717" s="1582" t="s">
        <v>7018</v>
      </c>
      <c r="U717" s="1582"/>
    </row>
    <row r="718" spans="1:23" ht="6.75" customHeight="1">
      <c r="E718" s="1585"/>
      <c r="F718" s="1585"/>
      <c r="G718" s="1585"/>
      <c r="H718" s="1585"/>
      <c r="I718" s="1585"/>
      <c r="J718" s="1585"/>
      <c r="K718" s="1585"/>
      <c r="L718" s="1585"/>
      <c r="M718" s="1585"/>
      <c r="N718" s="1585"/>
      <c r="O718" s="1585"/>
      <c r="P718" s="1585"/>
      <c r="Q718" s="1585"/>
      <c r="R718" s="1582"/>
      <c r="S718" s="1582"/>
      <c r="T718" s="1582"/>
      <c r="U718" s="1582"/>
    </row>
    <row r="719" spans="1:23" ht="10.9" customHeight="1">
      <c r="A719" s="1576"/>
      <c r="B719" s="1576"/>
      <c r="C719" s="1576"/>
      <c r="D719" s="1576"/>
      <c r="E719" s="1576"/>
      <c r="F719" s="1576"/>
      <c r="G719" s="1576"/>
      <c r="H719" s="1576"/>
      <c r="I719" s="1576"/>
      <c r="J719" s="1577" t="s">
        <v>1314</v>
      </c>
      <c r="K719" s="1577"/>
      <c r="L719" s="1577" t="s">
        <v>1315</v>
      </c>
      <c r="M719" s="1577"/>
      <c r="N719" s="1577"/>
      <c r="O719" s="1577" t="s">
        <v>1316</v>
      </c>
      <c r="P719" s="1577"/>
      <c r="Q719" s="1577"/>
      <c r="R719" s="1577"/>
      <c r="S719" s="1577"/>
      <c r="T719" s="1577"/>
      <c r="U719" s="1577"/>
    </row>
    <row r="720" spans="1:23" ht="14.1" customHeight="1">
      <c r="A720" s="1578" t="s">
        <v>1317</v>
      </c>
      <c r="B720" s="1578"/>
      <c r="C720" s="1578" t="s">
        <v>1318</v>
      </c>
      <c r="D720" s="1578"/>
      <c r="E720" s="1578"/>
      <c r="F720" s="1578" t="s">
        <v>1319</v>
      </c>
      <c r="G720" s="1578"/>
      <c r="H720" s="1578"/>
      <c r="I720" s="1578"/>
      <c r="J720" s="1413" t="s">
        <v>1320</v>
      </c>
      <c r="K720" s="1413" t="s">
        <v>1321</v>
      </c>
      <c r="L720" s="1413" t="s">
        <v>1320</v>
      </c>
      <c r="M720" s="1579" t="s">
        <v>1321</v>
      </c>
      <c r="N720" s="1579"/>
      <c r="O720" s="1579" t="s">
        <v>1320</v>
      </c>
      <c r="P720" s="1579"/>
      <c r="Q720" s="1579" t="s">
        <v>1321</v>
      </c>
      <c r="R720" s="1579"/>
      <c r="S720" s="1579"/>
      <c r="T720" s="1579"/>
      <c r="U720" s="1579"/>
    </row>
    <row r="721" spans="1:21" ht="14.1" customHeight="1">
      <c r="A721" s="1574" t="s">
        <v>345</v>
      </c>
      <c r="B721" s="1574"/>
      <c r="C721" s="1574" t="s">
        <v>6321</v>
      </c>
      <c r="D721" s="1574"/>
      <c r="E721" s="1574"/>
      <c r="F721" s="1574" t="s">
        <v>6322</v>
      </c>
      <c r="G721" s="1574"/>
      <c r="H721" s="1574"/>
      <c r="I721" s="1574"/>
      <c r="J721" s="1412">
        <v>0</v>
      </c>
      <c r="K721" s="1412">
        <v>0</v>
      </c>
      <c r="L721" s="1412">
        <v>64121.72</v>
      </c>
      <c r="M721" s="1575">
        <v>64121.72</v>
      </c>
      <c r="N721" s="1575"/>
      <c r="O721" s="1575">
        <v>0</v>
      </c>
      <c r="P721" s="1575"/>
      <c r="Q721" s="1575">
        <v>0</v>
      </c>
      <c r="R721" s="1575"/>
      <c r="S721" s="1575"/>
      <c r="T721" s="1575"/>
      <c r="U721" s="1575"/>
    </row>
    <row r="722" spans="1:21" ht="10.9" customHeight="1">
      <c r="A722" s="1574" t="s">
        <v>345</v>
      </c>
      <c r="B722" s="1574"/>
      <c r="C722" s="1574" t="s">
        <v>2229</v>
      </c>
      <c r="D722" s="1574"/>
      <c r="E722" s="1574"/>
      <c r="F722" s="1574" t="s">
        <v>1688</v>
      </c>
      <c r="G722" s="1574"/>
      <c r="H722" s="1574"/>
      <c r="I722" s="1574"/>
      <c r="J722" s="1412">
        <v>0</v>
      </c>
      <c r="K722" s="1412">
        <v>0</v>
      </c>
      <c r="L722" s="1412">
        <v>991.64</v>
      </c>
      <c r="M722" s="1575">
        <v>991.64</v>
      </c>
      <c r="N722" s="1575"/>
      <c r="O722" s="1575">
        <v>0</v>
      </c>
      <c r="P722" s="1575"/>
      <c r="Q722" s="1575">
        <v>0</v>
      </c>
      <c r="R722" s="1575"/>
      <c r="S722" s="1575"/>
      <c r="T722" s="1575"/>
      <c r="U722" s="1575"/>
    </row>
    <row r="723" spans="1:21" ht="10.9" customHeight="1">
      <c r="A723" s="1574" t="s">
        <v>345</v>
      </c>
      <c r="B723" s="1574"/>
      <c r="C723" s="1574" t="s">
        <v>1584</v>
      </c>
      <c r="D723" s="1574"/>
      <c r="E723" s="1574"/>
      <c r="F723" s="1574" t="s">
        <v>1585</v>
      </c>
      <c r="G723" s="1574"/>
      <c r="H723" s="1574"/>
      <c r="I723" s="1574"/>
      <c r="J723" s="1412">
        <v>0</v>
      </c>
      <c r="K723" s="1412">
        <v>0</v>
      </c>
      <c r="L723" s="1412">
        <v>202615.8</v>
      </c>
      <c r="M723" s="1575">
        <v>202615.8</v>
      </c>
      <c r="N723" s="1575"/>
      <c r="O723" s="1575">
        <v>0</v>
      </c>
      <c r="P723" s="1575"/>
      <c r="Q723" s="1575">
        <v>0</v>
      </c>
      <c r="R723" s="1575"/>
      <c r="S723" s="1575"/>
      <c r="T723" s="1575"/>
      <c r="U723" s="1575"/>
    </row>
    <row r="724" spans="1:21" ht="10.9" customHeight="1">
      <c r="A724" s="1574" t="s">
        <v>345</v>
      </c>
      <c r="B724" s="1574"/>
      <c r="C724" s="1574" t="s">
        <v>2230</v>
      </c>
      <c r="D724" s="1574"/>
      <c r="E724" s="1574"/>
      <c r="F724" s="1574" t="s">
        <v>2231</v>
      </c>
      <c r="G724" s="1574"/>
      <c r="H724" s="1574"/>
      <c r="I724" s="1574"/>
      <c r="J724" s="1412">
        <v>0</v>
      </c>
      <c r="K724" s="1412">
        <v>0</v>
      </c>
      <c r="L724" s="1412">
        <v>198294.32</v>
      </c>
      <c r="M724" s="1575">
        <v>198294.32</v>
      </c>
      <c r="N724" s="1575"/>
      <c r="O724" s="1575">
        <v>0</v>
      </c>
      <c r="P724" s="1575"/>
      <c r="Q724" s="1575">
        <v>0</v>
      </c>
      <c r="R724" s="1575"/>
      <c r="S724" s="1575"/>
      <c r="T724" s="1575"/>
      <c r="U724" s="1575"/>
    </row>
    <row r="725" spans="1:21" ht="10.9" customHeight="1">
      <c r="A725" s="1574" t="s">
        <v>345</v>
      </c>
      <c r="B725" s="1574"/>
      <c r="C725" s="1574" t="s">
        <v>2232</v>
      </c>
      <c r="D725" s="1574"/>
      <c r="E725" s="1574"/>
      <c r="F725" s="1574" t="s">
        <v>2233</v>
      </c>
      <c r="G725" s="1574"/>
      <c r="H725" s="1574"/>
      <c r="I725" s="1574"/>
      <c r="J725" s="1412">
        <v>0</v>
      </c>
      <c r="K725" s="1412">
        <v>0</v>
      </c>
      <c r="L725" s="1412">
        <v>4321.4799999999996</v>
      </c>
      <c r="M725" s="1575">
        <v>4321.4799999999996</v>
      </c>
      <c r="N725" s="1575"/>
      <c r="O725" s="1575">
        <v>0</v>
      </c>
      <c r="P725" s="1575"/>
      <c r="Q725" s="1575">
        <v>0</v>
      </c>
      <c r="R725" s="1575"/>
      <c r="S725" s="1575"/>
      <c r="T725" s="1575"/>
      <c r="U725" s="1575"/>
    </row>
    <row r="726" spans="1:21" ht="10.9" customHeight="1">
      <c r="A726" s="1574" t="s">
        <v>345</v>
      </c>
      <c r="B726" s="1574"/>
      <c r="C726" s="1574" t="s">
        <v>1586</v>
      </c>
      <c r="D726" s="1574"/>
      <c r="E726" s="1574"/>
      <c r="F726" s="1574" t="s">
        <v>2234</v>
      </c>
      <c r="G726" s="1574"/>
      <c r="H726" s="1574"/>
      <c r="I726" s="1574"/>
      <c r="J726" s="1412">
        <v>0</v>
      </c>
      <c r="K726" s="1412">
        <v>0</v>
      </c>
      <c r="L726" s="1412">
        <v>52731.88</v>
      </c>
      <c r="M726" s="1575">
        <v>52731.88</v>
      </c>
      <c r="N726" s="1575"/>
      <c r="O726" s="1575">
        <v>0</v>
      </c>
      <c r="P726" s="1575"/>
      <c r="Q726" s="1575">
        <v>0</v>
      </c>
      <c r="R726" s="1575"/>
      <c r="S726" s="1575"/>
      <c r="T726" s="1575"/>
      <c r="U726" s="1575"/>
    </row>
    <row r="727" spans="1:21" ht="10.9" customHeight="1">
      <c r="A727" s="1574" t="s">
        <v>345</v>
      </c>
      <c r="B727" s="1574"/>
      <c r="C727" s="1574" t="s">
        <v>2235</v>
      </c>
      <c r="D727" s="1574"/>
      <c r="E727" s="1574"/>
      <c r="F727" s="1574" t="s">
        <v>2236</v>
      </c>
      <c r="G727" s="1574"/>
      <c r="H727" s="1574"/>
      <c r="I727" s="1574"/>
      <c r="J727" s="1412">
        <v>0</v>
      </c>
      <c r="K727" s="1412">
        <v>0</v>
      </c>
      <c r="L727" s="1412">
        <v>0</v>
      </c>
      <c r="M727" s="1575">
        <v>0</v>
      </c>
      <c r="N727" s="1575"/>
      <c r="O727" s="1575">
        <v>0</v>
      </c>
      <c r="P727" s="1575"/>
      <c r="Q727" s="1575">
        <v>0</v>
      </c>
      <c r="R727" s="1575"/>
      <c r="S727" s="1575"/>
      <c r="T727" s="1575"/>
      <c r="U727" s="1575"/>
    </row>
    <row r="728" spans="1:21" ht="10.9" customHeight="1">
      <c r="A728" s="1574" t="s">
        <v>345</v>
      </c>
      <c r="B728" s="1574"/>
      <c r="C728" s="1574" t="s">
        <v>2237</v>
      </c>
      <c r="D728" s="1574"/>
      <c r="E728" s="1574"/>
      <c r="F728" s="1574" t="s">
        <v>1689</v>
      </c>
      <c r="G728" s="1574"/>
      <c r="H728" s="1574"/>
      <c r="I728" s="1574"/>
      <c r="J728" s="1412">
        <v>0</v>
      </c>
      <c r="K728" s="1412">
        <v>0</v>
      </c>
      <c r="L728" s="1412">
        <v>52731.88</v>
      </c>
      <c r="M728" s="1575">
        <v>52731.88</v>
      </c>
      <c r="N728" s="1575"/>
      <c r="O728" s="1575">
        <v>0</v>
      </c>
      <c r="P728" s="1575"/>
      <c r="Q728" s="1575">
        <v>0</v>
      </c>
      <c r="R728" s="1575"/>
      <c r="S728" s="1575"/>
      <c r="T728" s="1575"/>
      <c r="U728" s="1575"/>
    </row>
    <row r="729" spans="1:21" ht="10.9" customHeight="1">
      <c r="A729" s="1574" t="s">
        <v>345</v>
      </c>
      <c r="B729" s="1574"/>
      <c r="C729" s="1574" t="s">
        <v>1587</v>
      </c>
      <c r="D729" s="1574"/>
      <c r="E729" s="1574"/>
      <c r="F729" s="1574" t="s">
        <v>211</v>
      </c>
      <c r="G729" s="1574"/>
      <c r="H729" s="1574"/>
      <c r="I729" s="1574"/>
      <c r="J729" s="1412">
        <v>0</v>
      </c>
      <c r="K729" s="1412">
        <v>0</v>
      </c>
      <c r="L729" s="1412">
        <v>5797189.5099999998</v>
      </c>
      <c r="M729" s="1575">
        <v>5797189.5099999998</v>
      </c>
      <c r="N729" s="1575"/>
      <c r="O729" s="1575">
        <v>0</v>
      </c>
      <c r="P729" s="1575"/>
      <c r="Q729" s="1575">
        <v>0</v>
      </c>
      <c r="R729" s="1575"/>
      <c r="S729" s="1575"/>
      <c r="T729" s="1575"/>
      <c r="U729" s="1575"/>
    </row>
    <row r="730" spans="1:21" ht="19.149999999999999" customHeight="1">
      <c r="A730" s="1574" t="s">
        <v>345</v>
      </c>
      <c r="B730" s="1574"/>
      <c r="C730" s="1574" t="s">
        <v>1588</v>
      </c>
      <c r="D730" s="1574"/>
      <c r="E730" s="1574"/>
      <c r="F730" s="1574" t="s">
        <v>2238</v>
      </c>
      <c r="G730" s="1574"/>
      <c r="H730" s="1574"/>
      <c r="I730" s="1574"/>
      <c r="J730" s="1412">
        <v>0</v>
      </c>
      <c r="K730" s="1412">
        <v>0</v>
      </c>
      <c r="L730" s="1412">
        <v>5797189.5099999998</v>
      </c>
      <c r="M730" s="1575">
        <v>5797189.5099999998</v>
      </c>
      <c r="N730" s="1575"/>
      <c r="O730" s="1575">
        <v>0</v>
      </c>
      <c r="P730" s="1575"/>
      <c r="Q730" s="1575">
        <v>0</v>
      </c>
      <c r="R730" s="1575"/>
      <c r="S730" s="1575"/>
      <c r="T730" s="1575"/>
      <c r="U730" s="1575"/>
    </row>
    <row r="731" spans="1:21" ht="10.9" customHeight="1">
      <c r="A731" s="1574" t="s">
        <v>345</v>
      </c>
      <c r="B731" s="1574"/>
      <c r="C731" s="1574" t="s">
        <v>5963</v>
      </c>
      <c r="D731" s="1574"/>
      <c r="E731" s="1574"/>
      <c r="F731" s="1574" t="s">
        <v>2271</v>
      </c>
      <c r="G731" s="1574"/>
      <c r="H731" s="1574"/>
      <c r="I731" s="1574"/>
      <c r="J731" s="1412">
        <v>0</v>
      </c>
      <c r="K731" s="1412">
        <v>0</v>
      </c>
      <c r="L731" s="1412">
        <v>358123</v>
      </c>
      <c r="M731" s="1575">
        <v>358123</v>
      </c>
      <c r="N731" s="1575"/>
      <c r="O731" s="1575">
        <v>0</v>
      </c>
      <c r="P731" s="1575"/>
      <c r="Q731" s="1575">
        <v>0</v>
      </c>
      <c r="R731" s="1575"/>
      <c r="S731" s="1575"/>
      <c r="T731" s="1575"/>
      <c r="U731" s="1575"/>
    </row>
    <row r="732" spans="1:21" ht="10.9" customHeight="1">
      <c r="A732" s="1574" t="s">
        <v>345</v>
      </c>
      <c r="B732" s="1574"/>
      <c r="C732" s="1574" t="s">
        <v>3300</v>
      </c>
      <c r="D732" s="1574"/>
      <c r="E732" s="1574"/>
      <c r="F732" s="1574" t="s">
        <v>3301</v>
      </c>
      <c r="G732" s="1574"/>
      <c r="H732" s="1574"/>
      <c r="I732" s="1574"/>
      <c r="J732" s="1412">
        <v>0</v>
      </c>
      <c r="K732" s="1412">
        <v>0</v>
      </c>
      <c r="L732" s="1412">
        <v>5926.07</v>
      </c>
      <c r="M732" s="1575">
        <v>5926.07</v>
      </c>
      <c r="N732" s="1575"/>
      <c r="O732" s="1575">
        <v>0</v>
      </c>
      <c r="P732" s="1575"/>
      <c r="Q732" s="1575">
        <v>0</v>
      </c>
      <c r="R732" s="1575"/>
      <c r="S732" s="1575"/>
      <c r="T732" s="1575"/>
      <c r="U732" s="1575"/>
    </row>
    <row r="733" spans="1:21" ht="10.9" customHeight="1">
      <c r="A733" s="1574" t="s">
        <v>345</v>
      </c>
      <c r="B733" s="1574"/>
      <c r="C733" s="1574" t="s">
        <v>5790</v>
      </c>
      <c r="D733" s="1574"/>
      <c r="E733" s="1574"/>
      <c r="F733" s="1574" t="s">
        <v>5791</v>
      </c>
      <c r="G733" s="1574"/>
      <c r="H733" s="1574"/>
      <c r="I733" s="1574"/>
      <c r="J733" s="1412">
        <v>0</v>
      </c>
      <c r="K733" s="1412">
        <v>0</v>
      </c>
      <c r="L733" s="1412">
        <v>0</v>
      </c>
      <c r="M733" s="1575">
        <v>0</v>
      </c>
      <c r="N733" s="1575"/>
      <c r="O733" s="1575">
        <v>0</v>
      </c>
      <c r="P733" s="1575"/>
      <c r="Q733" s="1575">
        <v>0</v>
      </c>
      <c r="R733" s="1575"/>
      <c r="S733" s="1575"/>
      <c r="T733" s="1575"/>
      <c r="U733" s="1575"/>
    </row>
    <row r="734" spans="1:21" ht="10.9" customHeight="1">
      <c r="A734" s="1574" t="s">
        <v>345</v>
      </c>
      <c r="B734" s="1574"/>
      <c r="C734" s="1574" t="s">
        <v>5792</v>
      </c>
      <c r="D734" s="1574"/>
      <c r="E734" s="1574"/>
      <c r="F734" s="1574" t="s">
        <v>5793</v>
      </c>
      <c r="G734" s="1574"/>
      <c r="H734" s="1574"/>
      <c r="I734" s="1574"/>
      <c r="J734" s="1412">
        <v>0</v>
      </c>
      <c r="K734" s="1412">
        <v>0</v>
      </c>
      <c r="L734" s="1412">
        <v>8564</v>
      </c>
      <c r="M734" s="1575">
        <v>8564</v>
      </c>
      <c r="N734" s="1575"/>
      <c r="O734" s="1575">
        <v>0</v>
      </c>
      <c r="P734" s="1575"/>
      <c r="Q734" s="1575">
        <v>0</v>
      </c>
      <c r="R734" s="1575"/>
      <c r="S734" s="1575"/>
      <c r="T734" s="1575"/>
      <c r="U734" s="1575"/>
    </row>
    <row r="735" spans="1:21" ht="10.9" customHeight="1">
      <c r="A735" s="1574" t="s">
        <v>345</v>
      </c>
      <c r="B735" s="1574"/>
      <c r="C735" s="1574" t="s">
        <v>3302</v>
      </c>
      <c r="D735" s="1574"/>
      <c r="E735" s="1574"/>
      <c r="F735" s="1574" t="s">
        <v>3303</v>
      </c>
      <c r="G735" s="1574"/>
      <c r="H735" s="1574"/>
      <c r="I735" s="1574"/>
      <c r="J735" s="1412">
        <v>0</v>
      </c>
      <c r="K735" s="1412">
        <v>0</v>
      </c>
      <c r="L735" s="1412">
        <v>2586.8000000000002</v>
      </c>
      <c r="M735" s="1575">
        <v>2586.8000000000002</v>
      </c>
      <c r="N735" s="1575"/>
      <c r="O735" s="1575">
        <v>0</v>
      </c>
      <c r="P735" s="1575"/>
      <c r="Q735" s="1575">
        <v>0</v>
      </c>
      <c r="R735" s="1575"/>
      <c r="S735" s="1575"/>
      <c r="T735" s="1575"/>
      <c r="U735" s="1575"/>
    </row>
    <row r="736" spans="1:21" ht="10.9" customHeight="1">
      <c r="A736" s="1574" t="s">
        <v>345</v>
      </c>
      <c r="B736" s="1574"/>
      <c r="C736" s="1574" t="s">
        <v>6667</v>
      </c>
      <c r="D736" s="1574"/>
      <c r="E736" s="1574"/>
      <c r="F736" s="1574" t="s">
        <v>6668</v>
      </c>
      <c r="G736" s="1574"/>
      <c r="H736" s="1574"/>
      <c r="I736" s="1574"/>
      <c r="J736" s="1412">
        <v>0</v>
      </c>
      <c r="K736" s="1412">
        <v>0</v>
      </c>
      <c r="L736" s="1412">
        <v>0</v>
      </c>
      <c r="M736" s="1575">
        <v>0</v>
      </c>
      <c r="N736" s="1575"/>
      <c r="O736" s="1575">
        <v>0</v>
      </c>
      <c r="P736" s="1575"/>
      <c r="Q736" s="1575">
        <v>0</v>
      </c>
      <c r="R736" s="1575"/>
      <c r="S736" s="1575"/>
      <c r="T736" s="1575"/>
      <c r="U736" s="1575"/>
    </row>
    <row r="737" spans="1:21" ht="10.9" customHeight="1">
      <c r="A737" s="1574" t="s">
        <v>345</v>
      </c>
      <c r="B737" s="1574"/>
      <c r="C737" s="1574" t="s">
        <v>2854</v>
      </c>
      <c r="D737" s="1574"/>
      <c r="E737" s="1574"/>
      <c r="F737" s="1574" t="s">
        <v>1690</v>
      </c>
      <c r="G737" s="1574"/>
      <c r="H737" s="1574"/>
      <c r="I737" s="1574"/>
      <c r="J737" s="1412">
        <v>0</v>
      </c>
      <c r="K737" s="1412">
        <v>0</v>
      </c>
      <c r="L737" s="1412">
        <v>56485.22</v>
      </c>
      <c r="M737" s="1575">
        <v>56485.22</v>
      </c>
      <c r="N737" s="1575"/>
      <c r="O737" s="1575">
        <v>0</v>
      </c>
      <c r="P737" s="1575"/>
      <c r="Q737" s="1575">
        <v>0</v>
      </c>
      <c r="R737" s="1575"/>
      <c r="S737" s="1575"/>
      <c r="T737" s="1575"/>
      <c r="U737" s="1575"/>
    </row>
    <row r="738" spans="1:21" ht="10.9" customHeight="1">
      <c r="A738" s="1574" t="s">
        <v>345</v>
      </c>
      <c r="B738" s="1574"/>
      <c r="C738" s="1574" t="s">
        <v>2241</v>
      </c>
      <c r="D738" s="1574"/>
      <c r="E738" s="1574"/>
      <c r="F738" s="1574" t="s">
        <v>2242</v>
      </c>
      <c r="G738" s="1574"/>
      <c r="H738" s="1574"/>
      <c r="I738" s="1574"/>
      <c r="J738" s="1412">
        <v>0</v>
      </c>
      <c r="K738" s="1412">
        <v>0</v>
      </c>
      <c r="L738" s="1412">
        <v>1057485.71</v>
      </c>
      <c r="M738" s="1575">
        <v>1057485.71</v>
      </c>
      <c r="N738" s="1575"/>
      <c r="O738" s="1575">
        <v>0</v>
      </c>
      <c r="P738" s="1575"/>
      <c r="Q738" s="1575">
        <v>0</v>
      </c>
      <c r="R738" s="1575"/>
      <c r="S738" s="1575"/>
      <c r="T738" s="1575"/>
      <c r="U738" s="1575"/>
    </row>
    <row r="739" spans="1:21" ht="10.9" customHeight="1">
      <c r="A739" s="1574" t="s">
        <v>345</v>
      </c>
      <c r="B739" s="1574"/>
      <c r="C739" s="1574" t="s">
        <v>5794</v>
      </c>
      <c r="D739" s="1574"/>
      <c r="E739" s="1574"/>
      <c r="F739" s="1574" t="s">
        <v>5795</v>
      </c>
      <c r="G739" s="1574"/>
      <c r="H739" s="1574"/>
      <c r="I739" s="1574"/>
      <c r="J739" s="1412">
        <v>0</v>
      </c>
      <c r="K739" s="1412">
        <v>0</v>
      </c>
      <c r="L739" s="1412">
        <v>4793.03</v>
      </c>
      <c r="M739" s="1575">
        <v>4793.03</v>
      </c>
      <c r="N739" s="1575"/>
      <c r="O739" s="1575">
        <v>0</v>
      </c>
      <c r="P739" s="1575"/>
      <c r="Q739" s="1575">
        <v>0</v>
      </c>
      <c r="R739" s="1575"/>
      <c r="S739" s="1575"/>
      <c r="T739" s="1575"/>
      <c r="U739" s="1575"/>
    </row>
    <row r="740" spans="1:21" ht="10.9" customHeight="1">
      <c r="A740" s="1574" t="s">
        <v>345</v>
      </c>
      <c r="B740" s="1574"/>
      <c r="C740" s="1574" t="s">
        <v>2855</v>
      </c>
      <c r="D740" s="1574"/>
      <c r="E740" s="1574"/>
      <c r="F740" s="1574" t="s">
        <v>246</v>
      </c>
      <c r="G740" s="1574"/>
      <c r="H740" s="1574"/>
      <c r="I740" s="1574"/>
      <c r="J740" s="1412">
        <v>0</v>
      </c>
      <c r="K740" s="1412">
        <v>0</v>
      </c>
      <c r="L740" s="1412">
        <v>753979.33</v>
      </c>
      <c r="M740" s="1575">
        <v>753979.33</v>
      </c>
      <c r="N740" s="1575"/>
      <c r="O740" s="1575">
        <v>0</v>
      </c>
      <c r="P740" s="1575"/>
      <c r="Q740" s="1575">
        <v>0</v>
      </c>
      <c r="R740" s="1575"/>
      <c r="S740" s="1575"/>
      <c r="T740" s="1575"/>
      <c r="U740" s="1575"/>
    </row>
    <row r="741" spans="1:21" ht="10.9" customHeight="1">
      <c r="A741" s="1574" t="s">
        <v>345</v>
      </c>
      <c r="B741" s="1574"/>
      <c r="C741" s="1574" t="s">
        <v>3304</v>
      </c>
      <c r="D741" s="1574"/>
      <c r="E741" s="1574"/>
      <c r="F741" s="1574" t="s">
        <v>3305</v>
      </c>
      <c r="G741" s="1574"/>
      <c r="H741" s="1574"/>
      <c r="I741" s="1574"/>
      <c r="J741" s="1412">
        <v>0</v>
      </c>
      <c r="K741" s="1412">
        <v>0</v>
      </c>
      <c r="L741" s="1412">
        <v>74199.78</v>
      </c>
      <c r="M741" s="1575">
        <v>74199.78</v>
      </c>
      <c r="N741" s="1575"/>
      <c r="O741" s="1575">
        <v>0</v>
      </c>
      <c r="P741" s="1575"/>
      <c r="Q741" s="1575">
        <v>0</v>
      </c>
      <c r="R741" s="1575"/>
      <c r="S741" s="1575"/>
      <c r="T741" s="1575"/>
      <c r="U741" s="1575"/>
    </row>
    <row r="742" spans="1:21" ht="10.9" customHeight="1">
      <c r="A742" s="1574" t="s">
        <v>345</v>
      </c>
      <c r="B742" s="1574"/>
      <c r="C742" s="1574" t="s">
        <v>4021</v>
      </c>
      <c r="D742" s="1574"/>
      <c r="E742" s="1574"/>
      <c r="F742" s="1574" t="s">
        <v>4022</v>
      </c>
      <c r="G742" s="1574"/>
      <c r="H742" s="1574"/>
      <c r="I742" s="1574"/>
      <c r="J742" s="1412">
        <v>0</v>
      </c>
      <c r="K742" s="1412">
        <v>0</v>
      </c>
      <c r="L742" s="1412">
        <v>0</v>
      </c>
      <c r="M742" s="1575">
        <v>0</v>
      </c>
      <c r="N742" s="1575"/>
      <c r="O742" s="1575">
        <v>0</v>
      </c>
      <c r="P742" s="1575"/>
      <c r="Q742" s="1575">
        <v>0</v>
      </c>
      <c r="R742" s="1575"/>
      <c r="S742" s="1575"/>
      <c r="T742" s="1575"/>
      <c r="U742" s="1575"/>
    </row>
    <row r="743" spans="1:21" ht="10.9" customHeight="1">
      <c r="A743" s="1574" t="s">
        <v>345</v>
      </c>
      <c r="B743" s="1574"/>
      <c r="C743" s="1574" t="s">
        <v>5796</v>
      </c>
      <c r="D743" s="1574"/>
      <c r="E743" s="1574"/>
      <c r="F743" s="1574" t="s">
        <v>5797</v>
      </c>
      <c r="G743" s="1574"/>
      <c r="H743" s="1574"/>
      <c r="I743" s="1574"/>
      <c r="J743" s="1412">
        <v>0</v>
      </c>
      <c r="K743" s="1412">
        <v>0</v>
      </c>
      <c r="L743" s="1412">
        <v>3150</v>
      </c>
      <c r="M743" s="1575">
        <v>3150</v>
      </c>
      <c r="N743" s="1575"/>
      <c r="O743" s="1575">
        <v>0</v>
      </c>
      <c r="P743" s="1575"/>
      <c r="Q743" s="1575">
        <v>0</v>
      </c>
      <c r="R743" s="1575"/>
      <c r="S743" s="1575"/>
      <c r="T743" s="1575"/>
      <c r="U743" s="1575"/>
    </row>
    <row r="744" spans="1:21" ht="10.9" customHeight="1">
      <c r="A744" s="1574" t="s">
        <v>345</v>
      </c>
      <c r="B744" s="1574"/>
      <c r="C744" s="1574" t="s">
        <v>6194</v>
      </c>
      <c r="D744" s="1574"/>
      <c r="E744" s="1574"/>
      <c r="F744" s="1574" t="s">
        <v>6195</v>
      </c>
      <c r="G744" s="1574"/>
      <c r="H744" s="1574"/>
      <c r="I744" s="1574"/>
      <c r="J744" s="1412">
        <v>0</v>
      </c>
      <c r="K744" s="1412">
        <v>0</v>
      </c>
      <c r="L744" s="1412">
        <v>0</v>
      </c>
      <c r="M744" s="1575">
        <v>0</v>
      </c>
      <c r="N744" s="1575"/>
      <c r="O744" s="1575">
        <v>0</v>
      </c>
      <c r="P744" s="1575"/>
      <c r="Q744" s="1575">
        <v>0</v>
      </c>
      <c r="R744" s="1575"/>
      <c r="S744" s="1575"/>
      <c r="T744" s="1575"/>
      <c r="U744" s="1575"/>
    </row>
    <row r="745" spans="1:21" ht="10.9" customHeight="1">
      <c r="A745" s="1574" t="s">
        <v>345</v>
      </c>
      <c r="B745" s="1574"/>
      <c r="C745" s="1574" t="s">
        <v>2243</v>
      </c>
      <c r="D745" s="1574"/>
      <c r="E745" s="1574"/>
      <c r="F745" s="1574" t="s">
        <v>2244</v>
      </c>
      <c r="G745" s="1574"/>
      <c r="H745" s="1574"/>
      <c r="I745" s="1574"/>
      <c r="J745" s="1412">
        <v>0</v>
      </c>
      <c r="K745" s="1412">
        <v>0</v>
      </c>
      <c r="L745" s="1412">
        <v>20972.55</v>
      </c>
      <c r="M745" s="1575">
        <v>20972.55</v>
      </c>
      <c r="N745" s="1575"/>
      <c r="O745" s="1575">
        <v>0</v>
      </c>
      <c r="P745" s="1575"/>
      <c r="Q745" s="1575">
        <v>0</v>
      </c>
      <c r="R745" s="1575"/>
      <c r="S745" s="1575"/>
      <c r="T745" s="1575"/>
      <c r="U745" s="1575"/>
    </row>
    <row r="746" spans="1:21" ht="10.9" customHeight="1">
      <c r="A746" s="1574" t="s">
        <v>345</v>
      </c>
      <c r="B746" s="1574"/>
      <c r="C746" s="1574" t="s">
        <v>2245</v>
      </c>
      <c r="D746" s="1574"/>
      <c r="E746" s="1574"/>
      <c r="F746" s="1574" t="s">
        <v>2246</v>
      </c>
      <c r="G746" s="1574"/>
      <c r="H746" s="1574"/>
      <c r="I746" s="1574"/>
      <c r="J746" s="1412">
        <v>0</v>
      </c>
      <c r="K746" s="1412">
        <v>0</v>
      </c>
      <c r="L746" s="1412">
        <v>689.66</v>
      </c>
      <c r="M746" s="1575">
        <v>689.66</v>
      </c>
      <c r="N746" s="1575"/>
      <c r="O746" s="1575">
        <v>0</v>
      </c>
      <c r="P746" s="1575"/>
      <c r="Q746" s="1575">
        <v>0</v>
      </c>
      <c r="R746" s="1575"/>
      <c r="S746" s="1575"/>
      <c r="T746" s="1575"/>
      <c r="U746" s="1575"/>
    </row>
    <row r="747" spans="1:21" ht="10.9" customHeight="1">
      <c r="A747" s="1574" t="s">
        <v>345</v>
      </c>
      <c r="B747" s="1574"/>
      <c r="C747" s="1574" t="s">
        <v>3306</v>
      </c>
      <c r="D747" s="1574"/>
      <c r="E747" s="1574"/>
      <c r="F747" s="1574" t="s">
        <v>3307</v>
      </c>
      <c r="G747" s="1574"/>
      <c r="H747" s="1574"/>
      <c r="I747" s="1574"/>
      <c r="J747" s="1412">
        <v>0</v>
      </c>
      <c r="K747" s="1412">
        <v>0</v>
      </c>
      <c r="L747" s="1412">
        <v>533525.26</v>
      </c>
      <c r="M747" s="1575">
        <v>533525.26</v>
      </c>
      <c r="N747" s="1575"/>
      <c r="O747" s="1575">
        <v>0</v>
      </c>
      <c r="P747" s="1575"/>
      <c r="Q747" s="1575">
        <v>0</v>
      </c>
      <c r="R747" s="1575"/>
      <c r="S747" s="1575"/>
      <c r="T747" s="1575"/>
      <c r="U747" s="1575"/>
    </row>
    <row r="748" spans="1:21" ht="10.9" customHeight="1">
      <c r="A748" s="1574" t="s">
        <v>345</v>
      </c>
      <c r="B748" s="1574"/>
      <c r="C748" s="1574" t="s">
        <v>2856</v>
      </c>
      <c r="D748" s="1574"/>
      <c r="E748" s="1574"/>
      <c r="F748" s="1574" t="s">
        <v>2352</v>
      </c>
      <c r="G748" s="1574"/>
      <c r="H748" s="1574"/>
      <c r="I748" s="1574"/>
      <c r="J748" s="1412">
        <v>0</v>
      </c>
      <c r="K748" s="1412">
        <v>0</v>
      </c>
      <c r="L748" s="1412">
        <v>981970</v>
      </c>
      <c r="M748" s="1575">
        <v>981970</v>
      </c>
      <c r="N748" s="1575"/>
      <c r="O748" s="1575">
        <v>0</v>
      </c>
      <c r="P748" s="1575"/>
      <c r="Q748" s="1575">
        <v>0</v>
      </c>
      <c r="R748" s="1575"/>
      <c r="S748" s="1575"/>
      <c r="T748" s="1575"/>
      <c r="U748" s="1575"/>
    </row>
    <row r="749" spans="1:21" ht="10.9" customHeight="1">
      <c r="A749" s="1574" t="s">
        <v>345</v>
      </c>
      <c r="B749" s="1574"/>
      <c r="C749" s="1574" t="s">
        <v>2247</v>
      </c>
      <c r="D749" s="1574"/>
      <c r="E749" s="1574"/>
      <c r="F749" s="1574" t="s">
        <v>1761</v>
      </c>
      <c r="G749" s="1574"/>
      <c r="H749" s="1574"/>
      <c r="I749" s="1574"/>
      <c r="J749" s="1412">
        <v>0</v>
      </c>
      <c r="K749" s="1412">
        <v>0</v>
      </c>
      <c r="L749" s="1412">
        <v>2925</v>
      </c>
      <c r="M749" s="1575">
        <v>2925</v>
      </c>
      <c r="N749" s="1575"/>
      <c r="O749" s="1575">
        <v>0</v>
      </c>
      <c r="P749" s="1575"/>
      <c r="Q749" s="1575">
        <v>0</v>
      </c>
      <c r="R749" s="1575"/>
      <c r="S749" s="1575"/>
      <c r="T749" s="1575"/>
      <c r="U749" s="1575"/>
    </row>
    <row r="750" spans="1:21" ht="10.9" customHeight="1">
      <c r="A750" s="1574" t="s">
        <v>345</v>
      </c>
      <c r="B750" s="1574"/>
      <c r="C750" s="1574" t="s">
        <v>2248</v>
      </c>
      <c r="D750" s="1574"/>
      <c r="E750" s="1574"/>
      <c r="F750" s="1574" t="s">
        <v>2249</v>
      </c>
      <c r="G750" s="1574"/>
      <c r="H750" s="1574"/>
      <c r="I750" s="1574"/>
      <c r="J750" s="1412">
        <v>0</v>
      </c>
      <c r="K750" s="1412">
        <v>0</v>
      </c>
      <c r="L750" s="1412">
        <v>28897.43</v>
      </c>
      <c r="M750" s="1575">
        <v>28897.43</v>
      </c>
      <c r="N750" s="1575"/>
      <c r="O750" s="1575">
        <v>0</v>
      </c>
      <c r="P750" s="1575"/>
      <c r="Q750" s="1575">
        <v>0</v>
      </c>
      <c r="R750" s="1575"/>
      <c r="S750" s="1575"/>
      <c r="T750" s="1575"/>
      <c r="U750" s="1575"/>
    </row>
    <row r="751" spans="1:21" ht="10.9" customHeight="1">
      <c r="A751" s="1574" t="s">
        <v>345</v>
      </c>
      <c r="B751" s="1574"/>
      <c r="C751" s="1574" t="s">
        <v>5964</v>
      </c>
      <c r="D751" s="1574"/>
      <c r="E751" s="1574"/>
      <c r="F751" s="1574" t="s">
        <v>5965</v>
      </c>
      <c r="G751" s="1574"/>
      <c r="H751" s="1574"/>
      <c r="I751" s="1574"/>
      <c r="J751" s="1412">
        <v>0</v>
      </c>
      <c r="K751" s="1412">
        <v>0</v>
      </c>
      <c r="L751" s="1412">
        <v>2213.6999999999998</v>
      </c>
      <c r="M751" s="1575">
        <v>2213.6999999999998</v>
      </c>
      <c r="N751" s="1575"/>
      <c r="O751" s="1575">
        <v>0</v>
      </c>
      <c r="P751" s="1575"/>
      <c r="Q751" s="1575">
        <v>0</v>
      </c>
      <c r="R751" s="1575"/>
      <c r="S751" s="1575"/>
      <c r="T751" s="1575"/>
      <c r="U751" s="1575"/>
    </row>
    <row r="752" spans="1:21" ht="10.9" customHeight="1">
      <c r="A752" s="1574" t="s">
        <v>345</v>
      </c>
      <c r="B752" s="1574"/>
      <c r="C752" s="1574" t="s">
        <v>2250</v>
      </c>
      <c r="D752" s="1574"/>
      <c r="E752" s="1574"/>
      <c r="F752" s="1574" t="s">
        <v>2251</v>
      </c>
      <c r="G752" s="1574"/>
      <c r="H752" s="1574"/>
      <c r="I752" s="1574"/>
      <c r="J752" s="1412">
        <v>0</v>
      </c>
      <c r="K752" s="1412">
        <v>0</v>
      </c>
      <c r="L752" s="1412">
        <v>1135197.94</v>
      </c>
      <c r="M752" s="1575">
        <v>1135197.94</v>
      </c>
      <c r="N752" s="1575"/>
      <c r="O752" s="1575">
        <v>0</v>
      </c>
      <c r="P752" s="1575"/>
      <c r="Q752" s="1575">
        <v>0</v>
      </c>
      <c r="R752" s="1575"/>
      <c r="S752" s="1575"/>
      <c r="T752" s="1575"/>
      <c r="U752" s="1575"/>
    </row>
    <row r="753" spans="1:23" ht="10.9" customHeight="1">
      <c r="A753" s="1574" t="s">
        <v>345</v>
      </c>
      <c r="B753" s="1574"/>
      <c r="C753" s="1574" t="s">
        <v>6467</v>
      </c>
      <c r="D753" s="1574"/>
      <c r="E753" s="1574"/>
      <c r="F753" s="1574" t="s">
        <v>6468</v>
      </c>
      <c r="G753" s="1574"/>
      <c r="H753" s="1574"/>
      <c r="I753" s="1574"/>
      <c r="J753" s="1412">
        <v>0</v>
      </c>
      <c r="K753" s="1412">
        <v>0</v>
      </c>
      <c r="L753" s="1412">
        <v>0</v>
      </c>
      <c r="M753" s="1575">
        <v>0</v>
      </c>
      <c r="N753" s="1575"/>
      <c r="O753" s="1575">
        <v>0</v>
      </c>
      <c r="P753" s="1575"/>
      <c r="Q753" s="1575">
        <v>0</v>
      </c>
      <c r="R753" s="1575"/>
      <c r="S753" s="1575"/>
      <c r="T753" s="1575"/>
      <c r="U753" s="1575"/>
    </row>
    <row r="754" spans="1:23" ht="10.9" customHeight="1">
      <c r="A754" s="1574" t="s">
        <v>345</v>
      </c>
      <c r="B754" s="1574"/>
      <c r="C754" s="1574" t="s">
        <v>5798</v>
      </c>
      <c r="D754" s="1574"/>
      <c r="E754" s="1574"/>
      <c r="F754" s="1574" t="s">
        <v>5799</v>
      </c>
      <c r="G754" s="1574"/>
      <c r="H754" s="1574"/>
      <c r="I754" s="1574"/>
      <c r="J754" s="1412">
        <v>0</v>
      </c>
      <c r="K754" s="1412">
        <v>0</v>
      </c>
      <c r="L754" s="1412">
        <v>250</v>
      </c>
      <c r="M754" s="1575">
        <v>250</v>
      </c>
      <c r="N754" s="1575"/>
      <c r="O754" s="1575">
        <v>0</v>
      </c>
      <c r="P754" s="1575"/>
      <c r="Q754" s="1575">
        <v>0</v>
      </c>
      <c r="R754" s="1575"/>
      <c r="S754" s="1575"/>
      <c r="T754" s="1575"/>
      <c r="U754" s="1575"/>
    </row>
    <row r="755" spans="1:23" ht="10.9" customHeight="1">
      <c r="A755" s="1574" t="s">
        <v>345</v>
      </c>
      <c r="B755" s="1574"/>
      <c r="C755" s="1574" t="s">
        <v>5800</v>
      </c>
      <c r="D755" s="1574"/>
      <c r="E755" s="1574"/>
      <c r="F755" s="1574" t="s">
        <v>5801</v>
      </c>
      <c r="G755" s="1574"/>
      <c r="H755" s="1574"/>
      <c r="I755" s="1574"/>
      <c r="J755" s="1412">
        <v>0</v>
      </c>
      <c r="K755" s="1412">
        <v>0</v>
      </c>
      <c r="L755" s="1412">
        <v>537845.44999999995</v>
      </c>
      <c r="M755" s="1575">
        <v>537845.44999999995</v>
      </c>
      <c r="N755" s="1575"/>
      <c r="O755" s="1575">
        <v>0</v>
      </c>
      <c r="P755" s="1575"/>
      <c r="Q755" s="1575">
        <v>0</v>
      </c>
      <c r="R755" s="1575"/>
      <c r="S755" s="1575"/>
      <c r="T755" s="1575"/>
      <c r="U755" s="1575"/>
    </row>
    <row r="756" spans="1:23" ht="10.9" customHeight="1">
      <c r="A756" s="1574" t="s">
        <v>345</v>
      </c>
      <c r="B756" s="1574"/>
      <c r="C756" s="1574" t="s">
        <v>2857</v>
      </c>
      <c r="D756" s="1574"/>
      <c r="E756" s="1574"/>
      <c r="F756" s="1574" t="s">
        <v>2358</v>
      </c>
      <c r="G756" s="1574"/>
      <c r="H756" s="1574"/>
      <c r="I756" s="1574"/>
      <c r="J756" s="1412">
        <v>0</v>
      </c>
      <c r="K756" s="1412">
        <v>0</v>
      </c>
      <c r="L756" s="1412">
        <v>32090.41</v>
      </c>
      <c r="M756" s="1575">
        <v>32090.41</v>
      </c>
      <c r="N756" s="1575"/>
      <c r="O756" s="1575">
        <v>0</v>
      </c>
      <c r="P756" s="1575"/>
      <c r="Q756" s="1575">
        <v>0</v>
      </c>
      <c r="R756" s="1575"/>
      <c r="S756" s="1575"/>
      <c r="T756" s="1575"/>
      <c r="U756" s="1575"/>
    </row>
    <row r="757" spans="1:23" ht="10.9" customHeight="1">
      <c r="A757" s="1574" t="s">
        <v>345</v>
      </c>
      <c r="B757" s="1574"/>
      <c r="C757" s="1574" t="s">
        <v>2252</v>
      </c>
      <c r="D757" s="1574"/>
      <c r="E757" s="1574"/>
      <c r="F757" s="1574" t="s">
        <v>2253</v>
      </c>
      <c r="G757" s="1574"/>
      <c r="H757" s="1574"/>
      <c r="I757" s="1574"/>
      <c r="J757" s="1412">
        <v>0</v>
      </c>
      <c r="K757" s="1412">
        <v>0</v>
      </c>
      <c r="L757" s="1412">
        <v>12854.08</v>
      </c>
      <c r="M757" s="1575">
        <v>12854.08</v>
      </c>
      <c r="N757" s="1575"/>
      <c r="O757" s="1575">
        <v>0</v>
      </c>
      <c r="P757" s="1575"/>
      <c r="Q757" s="1575">
        <v>0</v>
      </c>
      <c r="R757" s="1575"/>
      <c r="S757" s="1575"/>
      <c r="T757" s="1575"/>
      <c r="U757" s="1575"/>
    </row>
    <row r="758" spans="1:23" ht="10.9" customHeight="1">
      <c r="A758" s="1574" t="s">
        <v>345</v>
      </c>
      <c r="B758" s="1574"/>
      <c r="C758" s="1574" t="s">
        <v>3109</v>
      </c>
      <c r="D758" s="1574"/>
      <c r="E758" s="1574"/>
      <c r="F758" s="1574" t="s">
        <v>3110</v>
      </c>
      <c r="G758" s="1574"/>
      <c r="H758" s="1574"/>
      <c r="I758" s="1574"/>
      <c r="J758" s="1412">
        <v>0</v>
      </c>
      <c r="K758" s="1412">
        <v>0</v>
      </c>
      <c r="L758" s="1412">
        <v>28218</v>
      </c>
      <c r="M758" s="1575">
        <v>28218</v>
      </c>
      <c r="N758" s="1575"/>
      <c r="O758" s="1575">
        <v>0</v>
      </c>
      <c r="P758" s="1575"/>
      <c r="Q758" s="1575">
        <v>0</v>
      </c>
      <c r="R758" s="1575"/>
      <c r="S758" s="1575"/>
      <c r="T758" s="1575"/>
      <c r="U758" s="1575"/>
    </row>
    <row r="759" spans="1:23" ht="10.9" customHeight="1">
      <c r="A759" s="1574" t="s">
        <v>345</v>
      </c>
      <c r="B759" s="1574"/>
      <c r="C759" s="1574" t="s">
        <v>5802</v>
      </c>
      <c r="D759" s="1574"/>
      <c r="E759" s="1574"/>
      <c r="F759" s="1574" t="s">
        <v>5803</v>
      </c>
      <c r="G759" s="1574"/>
      <c r="H759" s="1574"/>
      <c r="I759" s="1574"/>
      <c r="J759" s="1412">
        <v>0</v>
      </c>
      <c r="K759" s="1412">
        <v>0</v>
      </c>
      <c r="L759" s="1412">
        <v>0</v>
      </c>
      <c r="M759" s="1575">
        <v>0</v>
      </c>
      <c r="N759" s="1575"/>
      <c r="O759" s="1575">
        <v>0</v>
      </c>
      <c r="P759" s="1575"/>
      <c r="Q759" s="1575">
        <v>0</v>
      </c>
      <c r="R759" s="1575"/>
      <c r="S759" s="1575"/>
      <c r="T759" s="1575"/>
      <c r="U759" s="1575"/>
    </row>
    <row r="760" spans="1:23" ht="10.9" customHeight="1">
      <c r="A760" s="1574" t="s">
        <v>345</v>
      </c>
      <c r="B760" s="1574"/>
      <c r="C760" s="1574" t="s">
        <v>2254</v>
      </c>
      <c r="D760" s="1574"/>
      <c r="E760" s="1574"/>
      <c r="F760" s="1574" t="s">
        <v>2255</v>
      </c>
      <c r="G760" s="1574"/>
      <c r="H760" s="1574"/>
      <c r="I760" s="1574"/>
      <c r="J760" s="1412">
        <v>0</v>
      </c>
      <c r="K760" s="1412">
        <v>0</v>
      </c>
      <c r="L760" s="1412">
        <v>154247.09</v>
      </c>
      <c r="M760" s="1575">
        <v>154247.09</v>
      </c>
      <c r="N760" s="1575"/>
      <c r="O760" s="1575">
        <v>0</v>
      </c>
      <c r="P760" s="1575"/>
      <c r="Q760" s="1575">
        <v>0</v>
      </c>
      <c r="R760" s="1575"/>
      <c r="S760" s="1575"/>
      <c r="T760" s="1575"/>
      <c r="U760" s="1575"/>
    </row>
    <row r="761" spans="1:23" ht="17.25" customHeight="1">
      <c r="S761" s="1573" t="s">
        <v>2384</v>
      </c>
      <c r="T761" s="1573"/>
      <c r="U761" s="1573"/>
      <c r="V761" s="1573"/>
      <c r="W761" s="1573"/>
    </row>
    <row r="762" spans="1:23" ht="7.15" customHeight="1">
      <c r="C762" s="1586" t="s">
        <v>2987</v>
      </c>
      <c r="D762" s="1586"/>
      <c r="E762" s="1586"/>
      <c r="F762" s="1586"/>
      <c r="G762" s="1586"/>
      <c r="H762" s="1586"/>
      <c r="I762" s="1586"/>
      <c r="J762" s="1586"/>
      <c r="K762" s="1586"/>
      <c r="L762" s="1586"/>
      <c r="M762" s="1586"/>
      <c r="N762" s="1586"/>
      <c r="O762" s="1586"/>
      <c r="P762" s="1586"/>
      <c r="Q762" s="1586"/>
      <c r="R762" s="1586"/>
      <c r="S762" s="1586"/>
      <c r="T762" s="1586"/>
    </row>
    <row r="763" spans="1:23" ht="9.6" customHeight="1">
      <c r="A763" s="1587"/>
      <c r="B763" s="1587"/>
      <c r="C763" s="1587"/>
      <c r="D763" s="1587"/>
      <c r="E763" s="1587"/>
      <c r="F763" s="1587"/>
      <c r="G763" s="1586"/>
      <c r="H763" s="1586"/>
      <c r="I763" s="1586"/>
      <c r="J763" s="1586"/>
      <c r="K763" s="1586"/>
      <c r="L763" s="1586"/>
      <c r="M763" s="1586"/>
      <c r="N763" s="1586"/>
      <c r="O763" s="1586"/>
      <c r="P763" s="1586"/>
      <c r="Q763" s="1586"/>
      <c r="R763" s="1586"/>
      <c r="S763" s="1586"/>
      <c r="T763" s="1586"/>
    </row>
    <row r="764" spans="1:23" ht="13.35" customHeight="1">
      <c r="A764" s="1587"/>
      <c r="B764" s="1587"/>
      <c r="C764" s="1587"/>
      <c r="D764" s="1587"/>
      <c r="E764" s="1587"/>
      <c r="F764" s="1587"/>
      <c r="G764" s="1588" t="s">
        <v>79</v>
      </c>
      <c r="H764" s="1588"/>
      <c r="I764" s="1588"/>
      <c r="J764" s="1588"/>
      <c r="K764" s="1588"/>
      <c r="L764" s="1588"/>
      <c r="M764" s="1588"/>
      <c r="N764" s="1588"/>
      <c r="O764" s="1588"/>
      <c r="P764" s="1588"/>
      <c r="Q764" s="1588"/>
      <c r="R764" s="1588"/>
    </row>
    <row r="765" spans="1:23" ht="5.25" customHeight="1">
      <c r="A765" s="1587"/>
      <c r="B765" s="1587"/>
      <c r="C765" s="1587"/>
      <c r="D765" s="1587"/>
      <c r="E765" s="1587"/>
      <c r="F765" s="1587"/>
      <c r="G765" s="1581" t="s">
        <v>7015</v>
      </c>
      <c r="H765" s="1581"/>
      <c r="I765" s="1581"/>
      <c r="J765" s="1581"/>
      <c r="K765" s="1581"/>
      <c r="L765" s="1581"/>
      <c r="M765" s="1581"/>
      <c r="N765" s="1581"/>
      <c r="O765" s="1581"/>
      <c r="P765" s="1581"/>
      <c r="Q765" s="1581"/>
    </row>
    <row r="766" spans="1:23" ht="8.1" customHeight="1">
      <c r="B766" s="1580" t="s">
        <v>1916</v>
      </c>
      <c r="C766" s="1580"/>
      <c r="D766" s="1580"/>
      <c r="E766" s="1580"/>
      <c r="F766" s="1580"/>
      <c r="G766" s="1580"/>
      <c r="H766" s="1581"/>
      <c r="I766" s="1581"/>
      <c r="J766" s="1581"/>
      <c r="K766" s="1581"/>
      <c r="L766" s="1581"/>
      <c r="M766" s="1581"/>
      <c r="N766" s="1582" t="s">
        <v>5619</v>
      </c>
      <c r="O766" s="1582"/>
      <c r="P766" s="1582"/>
      <c r="Q766" s="1582"/>
      <c r="R766" s="1582"/>
      <c r="S766" s="1582"/>
      <c r="T766" s="1583" t="s">
        <v>7016</v>
      </c>
      <c r="U766" s="1583"/>
      <c r="V766" s="1583"/>
      <c r="W766" s="1583"/>
    </row>
    <row r="767" spans="1:23" ht="6" customHeight="1">
      <c r="B767" s="1580"/>
      <c r="C767" s="1580"/>
      <c r="D767" s="1580"/>
      <c r="E767" s="1580"/>
      <c r="F767" s="1580"/>
      <c r="G767" s="1580"/>
      <c r="H767" s="1584" t="s">
        <v>7017</v>
      </c>
      <c r="I767" s="1584"/>
      <c r="J767" s="1584"/>
      <c r="K767" s="1584"/>
      <c r="L767" s="1584"/>
      <c r="M767" s="1584"/>
      <c r="N767" s="1582"/>
      <c r="O767" s="1582"/>
      <c r="P767" s="1582"/>
      <c r="Q767" s="1582"/>
      <c r="R767" s="1582"/>
      <c r="S767" s="1582"/>
      <c r="T767" s="1583"/>
      <c r="U767" s="1583"/>
      <c r="V767" s="1583"/>
      <c r="W767" s="1583"/>
    </row>
    <row r="768" spans="1:23" ht="7.35" customHeight="1">
      <c r="B768" s="1580" t="s">
        <v>1994</v>
      </c>
      <c r="C768" s="1580"/>
      <c r="D768" s="1580"/>
      <c r="E768" s="1585"/>
      <c r="F768" s="1585"/>
      <c r="G768" s="1585"/>
      <c r="H768" s="1585"/>
      <c r="I768" s="1585"/>
      <c r="J768" s="1585"/>
      <c r="K768" s="1585"/>
      <c r="L768" s="1585"/>
      <c r="M768" s="1585"/>
      <c r="N768" s="1585"/>
      <c r="O768" s="1585"/>
      <c r="P768" s="1585"/>
      <c r="Q768" s="1585"/>
      <c r="R768" s="1582"/>
      <c r="S768" s="1582"/>
      <c r="T768" s="1582" t="s">
        <v>7018</v>
      </c>
      <c r="U768" s="1582"/>
    </row>
    <row r="769" spans="1:21" ht="6.75" customHeight="1">
      <c r="E769" s="1585"/>
      <c r="F769" s="1585"/>
      <c r="G769" s="1585"/>
      <c r="H769" s="1585"/>
      <c r="I769" s="1585"/>
      <c r="J769" s="1585"/>
      <c r="K769" s="1585"/>
      <c r="L769" s="1585"/>
      <c r="M769" s="1585"/>
      <c r="N769" s="1585"/>
      <c r="O769" s="1585"/>
      <c r="P769" s="1585"/>
      <c r="Q769" s="1585"/>
      <c r="R769" s="1582"/>
      <c r="S769" s="1582"/>
      <c r="T769" s="1582"/>
      <c r="U769" s="1582"/>
    </row>
    <row r="770" spans="1:21" ht="10.9" customHeight="1">
      <c r="A770" s="1576"/>
      <c r="B770" s="1576"/>
      <c r="C770" s="1576"/>
      <c r="D770" s="1576"/>
      <c r="E770" s="1576"/>
      <c r="F770" s="1576"/>
      <c r="G770" s="1576"/>
      <c r="H770" s="1576"/>
      <c r="I770" s="1576"/>
      <c r="J770" s="1577" t="s">
        <v>1314</v>
      </c>
      <c r="K770" s="1577"/>
      <c r="L770" s="1577" t="s">
        <v>1315</v>
      </c>
      <c r="M770" s="1577"/>
      <c r="N770" s="1577"/>
      <c r="O770" s="1577" t="s">
        <v>1316</v>
      </c>
      <c r="P770" s="1577"/>
      <c r="Q770" s="1577"/>
      <c r="R770" s="1577"/>
      <c r="S770" s="1577"/>
      <c r="T770" s="1577"/>
      <c r="U770" s="1577"/>
    </row>
    <row r="771" spans="1:21" ht="14.1" customHeight="1">
      <c r="A771" s="1578" t="s">
        <v>1317</v>
      </c>
      <c r="B771" s="1578"/>
      <c r="C771" s="1578" t="s">
        <v>1318</v>
      </c>
      <c r="D771" s="1578"/>
      <c r="E771" s="1578"/>
      <c r="F771" s="1578" t="s">
        <v>1319</v>
      </c>
      <c r="G771" s="1578"/>
      <c r="H771" s="1578"/>
      <c r="I771" s="1578"/>
      <c r="J771" s="1413" t="s">
        <v>1320</v>
      </c>
      <c r="K771" s="1413" t="s">
        <v>1321</v>
      </c>
      <c r="L771" s="1413" t="s">
        <v>1320</v>
      </c>
      <c r="M771" s="1579" t="s">
        <v>1321</v>
      </c>
      <c r="N771" s="1579"/>
      <c r="O771" s="1579" t="s">
        <v>1320</v>
      </c>
      <c r="P771" s="1579"/>
      <c r="Q771" s="1579" t="s">
        <v>1321</v>
      </c>
      <c r="R771" s="1579"/>
      <c r="S771" s="1579"/>
      <c r="T771" s="1579"/>
      <c r="U771" s="1579"/>
    </row>
    <row r="772" spans="1:21" ht="22.5" customHeight="1">
      <c r="A772" s="1574" t="s">
        <v>345</v>
      </c>
      <c r="B772" s="1574"/>
      <c r="C772" s="1574" t="s">
        <v>2256</v>
      </c>
      <c r="D772" s="1574"/>
      <c r="E772" s="1574"/>
      <c r="F772" s="1574" t="s">
        <v>2257</v>
      </c>
      <c r="G772" s="1574"/>
      <c r="H772" s="1574"/>
      <c r="I772" s="1574"/>
      <c r="J772" s="1412">
        <v>0</v>
      </c>
      <c r="K772" s="1412">
        <v>0</v>
      </c>
      <c r="L772" s="1412">
        <v>284067.65999999997</v>
      </c>
      <c r="M772" s="1575">
        <v>284067.65999999997</v>
      </c>
      <c r="N772" s="1575"/>
      <c r="O772" s="1575">
        <v>0</v>
      </c>
      <c r="P772" s="1575"/>
      <c r="Q772" s="1575">
        <v>0</v>
      </c>
      <c r="R772" s="1575"/>
      <c r="S772" s="1575"/>
      <c r="T772" s="1575"/>
      <c r="U772" s="1575"/>
    </row>
    <row r="773" spans="1:21" ht="10.9" customHeight="1">
      <c r="A773" s="1574" t="s">
        <v>345</v>
      </c>
      <c r="B773" s="1574"/>
      <c r="C773" s="1574" t="s">
        <v>2258</v>
      </c>
      <c r="D773" s="1574"/>
      <c r="E773" s="1574"/>
      <c r="F773" s="1574" t="s">
        <v>2259</v>
      </c>
      <c r="G773" s="1574"/>
      <c r="H773" s="1574"/>
      <c r="I773" s="1574"/>
      <c r="J773" s="1412">
        <v>0</v>
      </c>
      <c r="K773" s="1412">
        <v>0</v>
      </c>
      <c r="L773" s="1412">
        <v>10510.74</v>
      </c>
      <c r="M773" s="1575">
        <v>10510.74</v>
      </c>
      <c r="N773" s="1575"/>
      <c r="O773" s="1575">
        <v>0</v>
      </c>
      <c r="P773" s="1575"/>
      <c r="Q773" s="1575">
        <v>0</v>
      </c>
      <c r="R773" s="1575"/>
      <c r="S773" s="1575"/>
      <c r="T773" s="1575"/>
      <c r="U773" s="1575"/>
    </row>
    <row r="774" spans="1:21" ht="10.9" customHeight="1">
      <c r="A774" s="1574" t="s">
        <v>345</v>
      </c>
      <c r="B774" s="1574"/>
      <c r="C774" s="1574" t="s">
        <v>2260</v>
      </c>
      <c r="D774" s="1574"/>
      <c r="E774" s="1574"/>
      <c r="F774" s="1574" t="s">
        <v>2261</v>
      </c>
      <c r="G774" s="1574"/>
      <c r="H774" s="1574"/>
      <c r="I774" s="1574"/>
      <c r="J774" s="1412">
        <v>0</v>
      </c>
      <c r="K774" s="1412">
        <v>0</v>
      </c>
      <c r="L774" s="1412">
        <v>133763.01</v>
      </c>
      <c r="M774" s="1575">
        <v>133763.01</v>
      </c>
      <c r="N774" s="1575"/>
      <c r="O774" s="1575">
        <v>0</v>
      </c>
      <c r="P774" s="1575"/>
      <c r="Q774" s="1575">
        <v>0</v>
      </c>
      <c r="R774" s="1575"/>
      <c r="S774" s="1575"/>
      <c r="T774" s="1575"/>
      <c r="U774" s="1575"/>
    </row>
    <row r="775" spans="1:21" ht="10.9" customHeight="1">
      <c r="A775" s="1574" t="s">
        <v>345</v>
      </c>
      <c r="B775" s="1574"/>
      <c r="C775" s="1574" t="s">
        <v>2962</v>
      </c>
      <c r="D775" s="1574"/>
      <c r="E775" s="1574"/>
      <c r="F775" s="1574" t="s">
        <v>2963</v>
      </c>
      <c r="G775" s="1574"/>
      <c r="H775" s="1574"/>
      <c r="I775" s="1574"/>
      <c r="J775" s="1412">
        <v>0</v>
      </c>
      <c r="K775" s="1412">
        <v>0</v>
      </c>
      <c r="L775" s="1412">
        <v>139793.91</v>
      </c>
      <c r="M775" s="1575">
        <v>139793.91</v>
      </c>
      <c r="N775" s="1575"/>
      <c r="O775" s="1575">
        <v>0</v>
      </c>
      <c r="P775" s="1575"/>
      <c r="Q775" s="1575">
        <v>0</v>
      </c>
      <c r="R775" s="1575"/>
      <c r="S775" s="1575"/>
      <c r="T775" s="1575"/>
      <c r="U775" s="1575"/>
    </row>
    <row r="776" spans="1:21" ht="19.149999999999999" customHeight="1">
      <c r="A776" s="1574" t="s">
        <v>345</v>
      </c>
      <c r="B776" s="1574"/>
      <c r="C776" s="1574" t="s">
        <v>1589</v>
      </c>
      <c r="D776" s="1574"/>
      <c r="E776" s="1574"/>
      <c r="F776" s="1574" t="s">
        <v>2262</v>
      </c>
      <c r="G776" s="1574"/>
      <c r="H776" s="1574"/>
      <c r="I776" s="1574"/>
      <c r="J776" s="1412">
        <v>0</v>
      </c>
      <c r="K776" s="1412">
        <v>1364756.06</v>
      </c>
      <c r="L776" s="1412">
        <v>2666591.02</v>
      </c>
      <c r="M776" s="1575">
        <v>2996652.37</v>
      </c>
      <c r="N776" s="1575"/>
      <c r="O776" s="1575">
        <v>0</v>
      </c>
      <c r="P776" s="1575"/>
      <c r="Q776" s="1575">
        <v>1694817.41</v>
      </c>
      <c r="R776" s="1575"/>
      <c r="S776" s="1575"/>
      <c r="T776" s="1575"/>
      <c r="U776" s="1575"/>
    </row>
    <row r="777" spans="1:21" ht="10.9" customHeight="1">
      <c r="A777" s="1574" t="s">
        <v>345</v>
      </c>
      <c r="B777" s="1574"/>
      <c r="C777" s="1574" t="s">
        <v>1590</v>
      </c>
      <c r="D777" s="1574"/>
      <c r="E777" s="1574"/>
      <c r="F777" s="1574" t="s">
        <v>2263</v>
      </c>
      <c r="G777" s="1574"/>
      <c r="H777" s="1574"/>
      <c r="I777" s="1574"/>
      <c r="J777" s="1412">
        <v>0</v>
      </c>
      <c r="K777" s="1412">
        <v>149370.04999999999</v>
      </c>
      <c r="L777" s="1412">
        <v>149370.04999999999</v>
      </c>
      <c r="M777" s="1575">
        <v>500625.35</v>
      </c>
      <c r="N777" s="1575"/>
      <c r="O777" s="1575">
        <v>0</v>
      </c>
      <c r="P777" s="1575"/>
      <c r="Q777" s="1575">
        <v>500625.35</v>
      </c>
      <c r="R777" s="1575"/>
      <c r="S777" s="1575"/>
      <c r="T777" s="1575"/>
      <c r="U777" s="1575"/>
    </row>
    <row r="778" spans="1:21" ht="10.9" customHeight="1">
      <c r="A778" s="1574" t="s">
        <v>345</v>
      </c>
      <c r="B778" s="1574"/>
      <c r="C778" s="1574" t="s">
        <v>1591</v>
      </c>
      <c r="D778" s="1574"/>
      <c r="E778" s="1574"/>
      <c r="F778" s="1574" t="s">
        <v>2264</v>
      </c>
      <c r="G778" s="1574"/>
      <c r="H778" s="1574"/>
      <c r="I778" s="1574"/>
      <c r="J778" s="1412">
        <v>0</v>
      </c>
      <c r="K778" s="1412">
        <v>46657.46</v>
      </c>
      <c r="L778" s="1412">
        <v>139972.38</v>
      </c>
      <c r="M778" s="1575">
        <v>93314.92</v>
      </c>
      <c r="N778" s="1575"/>
      <c r="O778" s="1575">
        <v>0</v>
      </c>
      <c r="P778" s="1575"/>
      <c r="Q778" s="1575">
        <v>0</v>
      </c>
      <c r="R778" s="1575"/>
      <c r="S778" s="1575"/>
      <c r="T778" s="1575"/>
      <c r="U778" s="1575"/>
    </row>
    <row r="779" spans="1:21" ht="10.9" customHeight="1">
      <c r="A779" s="1574" t="s">
        <v>345</v>
      </c>
      <c r="B779" s="1574"/>
      <c r="C779" s="1574" t="s">
        <v>3365</v>
      </c>
      <c r="D779" s="1574"/>
      <c r="E779" s="1574"/>
      <c r="F779" s="1574" t="s">
        <v>3366</v>
      </c>
      <c r="G779" s="1574"/>
      <c r="H779" s="1574"/>
      <c r="I779" s="1574"/>
      <c r="J779" s="1412">
        <v>0</v>
      </c>
      <c r="K779" s="1412">
        <v>0</v>
      </c>
      <c r="L779" s="1412">
        <v>0</v>
      </c>
      <c r="M779" s="1575">
        <v>48000</v>
      </c>
      <c r="N779" s="1575"/>
      <c r="O779" s="1575">
        <v>0</v>
      </c>
      <c r="P779" s="1575"/>
      <c r="Q779" s="1575">
        <v>48000</v>
      </c>
      <c r="R779" s="1575"/>
      <c r="S779" s="1575"/>
      <c r="T779" s="1575"/>
      <c r="U779" s="1575"/>
    </row>
    <row r="780" spans="1:21" ht="10.9" customHeight="1">
      <c r="A780" s="1574" t="s">
        <v>345</v>
      </c>
      <c r="B780" s="1574"/>
      <c r="C780" s="1574" t="s">
        <v>1592</v>
      </c>
      <c r="D780" s="1574"/>
      <c r="E780" s="1574"/>
      <c r="F780" s="1574" t="s">
        <v>2265</v>
      </c>
      <c r="G780" s="1574"/>
      <c r="H780" s="1574"/>
      <c r="I780" s="1574"/>
      <c r="J780" s="1412">
        <v>0</v>
      </c>
      <c r="K780" s="1412">
        <v>0</v>
      </c>
      <c r="L780" s="1412">
        <v>930274.73</v>
      </c>
      <c r="M780" s="1575">
        <v>930274.73</v>
      </c>
      <c r="N780" s="1575"/>
      <c r="O780" s="1575">
        <v>0</v>
      </c>
      <c r="P780" s="1575"/>
      <c r="Q780" s="1575">
        <v>0</v>
      </c>
      <c r="R780" s="1575"/>
      <c r="S780" s="1575"/>
      <c r="T780" s="1575"/>
      <c r="U780" s="1575"/>
    </row>
    <row r="781" spans="1:21" ht="10.9" customHeight="1">
      <c r="A781" s="1574" t="s">
        <v>345</v>
      </c>
      <c r="B781" s="1574"/>
      <c r="C781" s="1574" t="s">
        <v>1593</v>
      </c>
      <c r="D781" s="1574"/>
      <c r="E781" s="1574"/>
      <c r="F781" s="1574" t="s">
        <v>2266</v>
      </c>
      <c r="G781" s="1574"/>
      <c r="H781" s="1574"/>
      <c r="I781" s="1574"/>
      <c r="J781" s="1412">
        <v>0</v>
      </c>
      <c r="K781" s="1412">
        <v>160802.89000000001</v>
      </c>
      <c r="L781" s="1412">
        <v>1040787.51</v>
      </c>
      <c r="M781" s="1575">
        <v>1038112.64</v>
      </c>
      <c r="N781" s="1575"/>
      <c r="O781" s="1575">
        <v>0</v>
      </c>
      <c r="P781" s="1575"/>
      <c r="Q781" s="1575">
        <v>158128.01999999999</v>
      </c>
      <c r="R781" s="1575"/>
      <c r="S781" s="1575"/>
      <c r="T781" s="1575"/>
      <c r="U781" s="1575"/>
    </row>
    <row r="782" spans="1:21" ht="10.9" customHeight="1">
      <c r="A782" s="1574" t="s">
        <v>345</v>
      </c>
      <c r="B782" s="1574"/>
      <c r="C782" s="1574" t="s">
        <v>1594</v>
      </c>
      <c r="D782" s="1574"/>
      <c r="E782" s="1574"/>
      <c r="F782" s="1574" t="s">
        <v>2265</v>
      </c>
      <c r="G782" s="1574"/>
      <c r="H782" s="1574"/>
      <c r="I782" s="1574"/>
      <c r="J782" s="1412">
        <v>0</v>
      </c>
      <c r="K782" s="1412">
        <v>0</v>
      </c>
      <c r="L782" s="1412">
        <v>90401.73</v>
      </c>
      <c r="M782" s="1575">
        <v>90401.73</v>
      </c>
      <c r="N782" s="1575"/>
      <c r="O782" s="1575">
        <v>0</v>
      </c>
      <c r="P782" s="1575"/>
      <c r="Q782" s="1575">
        <v>0</v>
      </c>
      <c r="R782" s="1575"/>
      <c r="S782" s="1575"/>
      <c r="T782" s="1575"/>
      <c r="U782" s="1575"/>
    </row>
    <row r="783" spans="1:21" ht="10.9" customHeight="1">
      <c r="A783" s="1574" t="s">
        <v>345</v>
      </c>
      <c r="B783" s="1574"/>
      <c r="C783" s="1574" t="s">
        <v>1595</v>
      </c>
      <c r="D783" s="1574"/>
      <c r="E783" s="1574"/>
      <c r="F783" s="1574" t="s">
        <v>2266</v>
      </c>
      <c r="G783" s="1574"/>
      <c r="H783" s="1574"/>
      <c r="I783" s="1574"/>
      <c r="J783" s="1412">
        <v>0</v>
      </c>
      <c r="K783" s="1412">
        <v>94769.25</v>
      </c>
      <c r="L783" s="1412">
        <v>90401.73</v>
      </c>
      <c r="M783" s="1575">
        <v>60120.61</v>
      </c>
      <c r="N783" s="1575"/>
      <c r="O783" s="1575">
        <v>0</v>
      </c>
      <c r="P783" s="1575"/>
      <c r="Q783" s="1575">
        <v>64488.13</v>
      </c>
      <c r="R783" s="1575"/>
      <c r="S783" s="1575"/>
      <c r="T783" s="1575"/>
      <c r="U783" s="1575"/>
    </row>
    <row r="784" spans="1:21" ht="10.9" customHeight="1">
      <c r="A784" s="1574" t="s">
        <v>345</v>
      </c>
      <c r="B784" s="1574"/>
      <c r="C784" s="1574" t="s">
        <v>1596</v>
      </c>
      <c r="D784" s="1574"/>
      <c r="E784" s="1574"/>
      <c r="F784" s="1574" t="s">
        <v>2265</v>
      </c>
      <c r="G784" s="1574"/>
      <c r="H784" s="1574"/>
      <c r="I784" s="1574"/>
      <c r="J784" s="1412">
        <v>0</v>
      </c>
      <c r="K784" s="1412">
        <v>0</v>
      </c>
      <c r="L784" s="1412">
        <v>101575.38</v>
      </c>
      <c r="M784" s="1575">
        <v>101575.38</v>
      </c>
      <c r="N784" s="1575"/>
      <c r="O784" s="1575">
        <v>0</v>
      </c>
      <c r="P784" s="1575"/>
      <c r="Q784" s="1575">
        <v>0</v>
      </c>
      <c r="R784" s="1575"/>
      <c r="S784" s="1575"/>
      <c r="T784" s="1575"/>
      <c r="U784" s="1575"/>
    </row>
    <row r="785" spans="1:21" ht="10.9" customHeight="1">
      <c r="A785" s="1574" t="s">
        <v>345</v>
      </c>
      <c r="B785" s="1574"/>
      <c r="C785" s="1574" t="s">
        <v>1597</v>
      </c>
      <c r="D785" s="1574"/>
      <c r="E785" s="1574"/>
      <c r="F785" s="1574" t="s">
        <v>2266</v>
      </c>
      <c r="G785" s="1574"/>
      <c r="H785" s="1574"/>
      <c r="I785" s="1574"/>
      <c r="J785" s="1412">
        <v>0</v>
      </c>
      <c r="K785" s="1412">
        <v>106245.64</v>
      </c>
      <c r="L785" s="1412">
        <v>102571.55</v>
      </c>
      <c r="M785" s="1575">
        <v>79371.11</v>
      </c>
      <c r="N785" s="1575"/>
      <c r="O785" s="1575">
        <v>0</v>
      </c>
      <c r="P785" s="1575"/>
      <c r="Q785" s="1575">
        <v>83045.2</v>
      </c>
      <c r="R785" s="1575"/>
      <c r="S785" s="1575"/>
      <c r="T785" s="1575"/>
      <c r="U785" s="1575"/>
    </row>
    <row r="786" spans="1:21" ht="10.9" customHeight="1">
      <c r="A786" s="1574" t="s">
        <v>345</v>
      </c>
      <c r="B786" s="1574"/>
      <c r="C786" s="1574" t="s">
        <v>1598</v>
      </c>
      <c r="D786" s="1574"/>
      <c r="E786" s="1574"/>
      <c r="F786" s="1574" t="s">
        <v>2265</v>
      </c>
      <c r="G786" s="1574"/>
      <c r="H786" s="1574"/>
      <c r="I786" s="1574"/>
      <c r="J786" s="1412">
        <v>0</v>
      </c>
      <c r="K786" s="1412">
        <v>0</v>
      </c>
      <c r="L786" s="1412">
        <v>9946.5300000000007</v>
      </c>
      <c r="M786" s="1575">
        <v>9946.5300000000007</v>
      </c>
      <c r="N786" s="1575"/>
      <c r="O786" s="1575">
        <v>0</v>
      </c>
      <c r="P786" s="1575"/>
      <c r="Q786" s="1575">
        <v>0</v>
      </c>
      <c r="R786" s="1575"/>
      <c r="S786" s="1575"/>
      <c r="T786" s="1575"/>
      <c r="U786" s="1575"/>
    </row>
    <row r="787" spans="1:21" ht="10.9" customHeight="1">
      <c r="A787" s="1574" t="s">
        <v>345</v>
      </c>
      <c r="B787" s="1574"/>
      <c r="C787" s="1574" t="s">
        <v>1599</v>
      </c>
      <c r="D787" s="1574"/>
      <c r="E787" s="1574"/>
      <c r="F787" s="1574" t="s">
        <v>2266</v>
      </c>
      <c r="G787" s="1574"/>
      <c r="H787" s="1574"/>
      <c r="I787" s="1574"/>
      <c r="J787" s="1412">
        <v>0</v>
      </c>
      <c r="K787" s="1412">
        <v>3510.03</v>
      </c>
      <c r="L787" s="1412">
        <v>11289.43</v>
      </c>
      <c r="M787" s="1575">
        <v>9408.3700000000008</v>
      </c>
      <c r="N787" s="1575"/>
      <c r="O787" s="1575">
        <v>0</v>
      </c>
      <c r="P787" s="1575"/>
      <c r="Q787" s="1575">
        <v>1628.97</v>
      </c>
      <c r="R787" s="1575"/>
      <c r="S787" s="1575"/>
      <c r="T787" s="1575"/>
      <c r="U787" s="1575"/>
    </row>
    <row r="788" spans="1:21" ht="10.9" customHeight="1">
      <c r="A788" s="1574" t="s">
        <v>345</v>
      </c>
      <c r="B788" s="1574"/>
      <c r="C788" s="1574" t="s">
        <v>1600</v>
      </c>
      <c r="D788" s="1574"/>
      <c r="E788" s="1574"/>
      <c r="F788" s="1574" t="s">
        <v>2266</v>
      </c>
      <c r="G788" s="1574"/>
      <c r="H788" s="1574"/>
      <c r="I788" s="1574"/>
      <c r="J788" s="1412">
        <v>0</v>
      </c>
      <c r="K788" s="1412">
        <v>803400.74</v>
      </c>
      <c r="L788" s="1412">
        <v>0</v>
      </c>
      <c r="M788" s="1575">
        <v>35501</v>
      </c>
      <c r="N788" s="1575"/>
      <c r="O788" s="1575">
        <v>0</v>
      </c>
      <c r="P788" s="1575"/>
      <c r="Q788" s="1575">
        <v>838901.74</v>
      </c>
      <c r="R788" s="1575"/>
      <c r="S788" s="1575"/>
      <c r="T788" s="1575"/>
      <c r="U788" s="1575"/>
    </row>
    <row r="789" spans="1:21" ht="10.9" customHeight="1">
      <c r="A789" s="1574" t="s">
        <v>345</v>
      </c>
      <c r="B789" s="1574"/>
      <c r="C789" s="1574" t="s">
        <v>1792</v>
      </c>
      <c r="D789" s="1574"/>
      <c r="E789" s="1574"/>
      <c r="F789" s="1574" t="s">
        <v>2266</v>
      </c>
      <c r="G789" s="1574"/>
      <c r="H789" s="1574"/>
      <c r="I789" s="1574"/>
      <c r="J789" s="1412">
        <v>0</v>
      </c>
      <c r="K789" s="1412">
        <v>0</v>
      </c>
      <c r="L789" s="1412">
        <v>0</v>
      </c>
      <c r="M789" s="1575">
        <v>0</v>
      </c>
      <c r="N789" s="1575"/>
      <c r="O789" s="1575">
        <v>0</v>
      </c>
      <c r="P789" s="1575"/>
      <c r="Q789" s="1575">
        <v>0</v>
      </c>
      <c r="R789" s="1575"/>
      <c r="S789" s="1575"/>
      <c r="T789" s="1575"/>
      <c r="U789" s="1575"/>
    </row>
    <row r="790" spans="1:21" ht="10.9" customHeight="1">
      <c r="A790" s="1574" t="s">
        <v>345</v>
      </c>
      <c r="B790" s="1574"/>
      <c r="C790" s="1574" t="s">
        <v>1601</v>
      </c>
      <c r="D790" s="1574"/>
      <c r="E790" s="1574"/>
      <c r="F790" s="1574" t="s">
        <v>202</v>
      </c>
      <c r="G790" s="1574"/>
      <c r="H790" s="1574"/>
      <c r="I790" s="1574"/>
      <c r="J790" s="1412">
        <v>0</v>
      </c>
      <c r="K790" s="1412">
        <v>41532.980000000003</v>
      </c>
      <c r="L790" s="1412">
        <v>262598.38</v>
      </c>
      <c r="M790" s="1575">
        <v>1244308.52</v>
      </c>
      <c r="N790" s="1575"/>
      <c r="O790" s="1575">
        <v>0</v>
      </c>
      <c r="P790" s="1575"/>
      <c r="Q790" s="1575">
        <v>1023243.12</v>
      </c>
      <c r="R790" s="1575"/>
      <c r="S790" s="1575"/>
      <c r="T790" s="1575"/>
      <c r="U790" s="1575"/>
    </row>
    <row r="791" spans="1:21" ht="10.9" customHeight="1">
      <c r="A791" s="1574" t="s">
        <v>345</v>
      </c>
      <c r="B791" s="1574"/>
      <c r="C791" s="1574" t="s">
        <v>3308</v>
      </c>
      <c r="D791" s="1574"/>
      <c r="E791" s="1574"/>
      <c r="F791" s="1574" t="s">
        <v>3309</v>
      </c>
      <c r="G791" s="1574"/>
      <c r="H791" s="1574"/>
      <c r="I791" s="1574"/>
      <c r="J791" s="1412">
        <v>0</v>
      </c>
      <c r="K791" s="1412">
        <v>0</v>
      </c>
      <c r="L791" s="1412">
        <v>14549.79</v>
      </c>
      <c r="M791" s="1575">
        <v>14549.79</v>
      </c>
      <c r="N791" s="1575"/>
      <c r="O791" s="1575">
        <v>0</v>
      </c>
      <c r="P791" s="1575"/>
      <c r="Q791" s="1575">
        <v>0</v>
      </c>
      <c r="R791" s="1575"/>
      <c r="S791" s="1575"/>
      <c r="T791" s="1575"/>
      <c r="U791" s="1575"/>
    </row>
    <row r="792" spans="1:21" ht="10.9" customHeight="1">
      <c r="A792" s="1574" t="s">
        <v>345</v>
      </c>
      <c r="B792" s="1574"/>
      <c r="C792" s="1574" t="s">
        <v>2267</v>
      </c>
      <c r="D792" s="1574"/>
      <c r="E792" s="1574"/>
      <c r="F792" s="1574" t="s">
        <v>2268</v>
      </c>
      <c r="G792" s="1574"/>
      <c r="H792" s="1574"/>
      <c r="I792" s="1574"/>
      <c r="J792" s="1412">
        <v>0</v>
      </c>
      <c r="K792" s="1412">
        <v>0</v>
      </c>
      <c r="L792" s="1412">
        <v>0</v>
      </c>
      <c r="M792" s="1575">
        <v>0</v>
      </c>
      <c r="N792" s="1575"/>
      <c r="O792" s="1575">
        <v>0</v>
      </c>
      <c r="P792" s="1575"/>
      <c r="Q792" s="1575">
        <v>0</v>
      </c>
      <c r="R792" s="1575"/>
      <c r="S792" s="1575"/>
      <c r="T792" s="1575"/>
      <c r="U792" s="1575"/>
    </row>
    <row r="793" spans="1:21" ht="10.9" customHeight="1">
      <c r="A793" s="1574" t="s">
        <v>345</v>
      </c>
      <c r="B793" s="1574"/>
      <c r="C793" s="1574" t="s">
        <v>5916</v>
      </c>
      <c r="D793" s="1574"/>
      <c r="E793" s="1574"/>
      <c r="F793" s="1574" t="s">
        <v>5917</v>
      </c>
      <c r="G793" s="1574"/>
      <c r="H793" s="1574"/>
      <c r="I793" s="1574"/>
      <c r="J793" s="1412">
        <v>0</v>
      </c>
      <c r="K793" s="1412">
        <v>0</v>
      </c>
      <c r="L793" s="1412">
        <v>0</v>
      </c>
      <c r="M793" s="1575">
        <v>0</v>
      </c>
      <c r="N793" s="1575"/>
      <c r="O793" s="1575">
        <v>0</v>
      </c>
      <c r="P793" s="1575"/>
      <c r="Q793" s="1575">
        <v>0</v>
      </c>
      <c r="R793" s="1575"/>
      <c r="S793" s="1575"/>
      <c r="T793" s="1575"/>
      <c r="U793" s="1575"/>
    </row>
    <row r="794" spans="1:21" ht="10.9" customHeight="1">
      <c r="A794" s="1574" t="s">
        <v>345</v>
      </c>
      <c r="B794" s="1574"/>
      <c r="C794" s="1574" t="s">
        <v>1602</v>
      </c>
      <c r="D794" s="1574"/>
      <c r="E794" s="1574"/>
      <c r="F794" s="1574" t="s">
        <v>2269</v>
      </c>
      <c r="G794" s="1574"/>
      <c r="H794" s="1574"/>
      <c r="I794" s="1574"/>
      <c r="J794" s="1412">
        <v>0</v>
      </c>
      <c r="K794" s="1412">
        <v>41532.980000000003</v>
      </c>
      <c r="L794" s="1412">
        <v>22374.45</v>
      </c>
      <c r="M794" s="1575">
        <v>11131.2</v>
      </c>
      <c r="N794" s="1575"/>
      <c r="O794" s="1575">
        <v>0</v>
      </c>
      <c r="P794" s="1575"/>
      <c r="Q794" s="1575">
        <v>30289.73</v>
      </c>
      <c r="R794" s="1575"/>
      <c r="S794" s="1575"/>
      <c r="T794" s="1575"/>
      <c r="U794" s="1575"/>
    </row>
    <row r="795" spans="1:21" ht="10.9" customHeight="1">
      <c r="A795" s="1574" t="s">
        <v>345</v>
      </c>
      <c r="B795" s="1574"/>
      <c r="C795" s="1574" t="s">
        <v>1603</v>
      </c>
      <c r="D795" s="1574"/>
      <c r="E795" s="1574"/>
      <c r="F795" s="1574" t="s">
        <v>2270</v>
      </c>
      <c r="G795" s="1574"/>
      <c r="H795" s="1574"/>
      <c r="I795" s="1574"/>
      <c r="J795" s="1412">
        <v>0</v>
      </c>
      <c r="K795" s="1412">
        <v>0</v>
      </c>
      <c r="L795" s="1412">
        <v>4302</v>
      </c>
      <c r="M795" s="1575">
        <v>4302</v>
      </c>
      <c r="N795" s="1575"/>
      <c r="O795" s="1575">
        <v>0</v>
      </c>
      <c r="P795" s="1575"/>
      <c r="Q795" s="1575">
        <v>0</v>
      </c>
      <c r="R795" s="1575"/>
      <c r="S795" s="1575"/>
      <c r="T795" s="1575"/>
      <c r="U795" s="1575"/>
    </row>
    <row r="796" spans="1:21" ht="10.9" customHeight="1">
      <c r="A796" s="1574" t="s">
        <v>345</v>
      </c>
      <c r="B796" s="1574"/>
      <c r="C796" s="1574" t="s">
        <v>1835</v>
      </c>
      <c r="D796" s="1574"/>
      <c r="E796" s="1574"/>
      <c r="F796" s="1574" t="s">
        <v>2271</v>
      </c>
      <c r="G796" s="1574"/>
      <c r="H796" s="1574"/>
      <c r="I796" s="1574"/>
      <c r="J796" s="1412">
        <v>0</v>
      </c>
      <c r="K796" s="1412">
        <v>0</v>
      </c>
      <c r="L796" s="1412">
        <v>0</v>
      </c>
      <c r="M796" s="1575">
        <v>395066.39</v>
      </c>
      <c r="N796" s="1575"/>
      <c r="O796" s="1575">
        <v>0</v>
      </c>
      <c r="P796" s="1575"/>
      <c r="Q796" s="1575">
        <v>395066.39</v>
      </c>
      <c r="R796" s="1575"/>
      <c r="S796" s="1575"/>
      <c r="T796" s="1575"/>
      <c r="U796" s="1575"/>
    </row>
    <row r="797" spans="1:21" ht="10.9" customHeight="1">
      <c r="A797" s="1574" t="s">
        <v>345</v>
      </c>
      <c r="B797" s="1574"/>
      <c r="C797" s="1574" t="s">
        <v>7030</v>
      </c>
      <c r="D797" s="1574"/>
      <c r="E797" s="1574"/>
      <c r="F797" s="1574" t="s">
        <v>7031</v>
      </c>
      <c r="G797" s="1574"/>
      <c r="H797" s="1574"/>
      <c r="I797" s="1574"/>
      <c r="J797" s="1412">
        <v>0</v>
      </c>
      <c r="K797" s="1412">
        <v>0</v>
      </c>
      <c r="L797" s="1412">
        <v>0</v>
      </c>
      <c r="M797" s="1575">
        <v>585195</v>
      </c>
      <c r="N797" s="1575"/>
      <c r="O797" s="1575">
        <v>0</v>
      </c>
      <c r="P797" s="1575"/>
      <c r="Q797" s="1575">
        <v>585195</v>
      </c>
      <c r="R797" s="1575"/>
      <c r="S797" s="1575"/>
      <c r="T797" s="1575"/>
      <c r="U797" s="1575"/>
    </row>
    <row r="798" spans="1:21" ht="10.9" customHeight="1">
      <c r="A798" s="1574" t="s">
        <v>345</v>
      </c>
      <c r="B798" s="1574"/>
      <c r="C798" s="1574" t="s">
        <v>5604</v>
      </c>
      <c r="D798" s="1574"/>
      <c r="E798" s="1574"/>
      <c r="F798" s="1574" t="s">
        <v>5605</v>
      </c>
      <c r="G798" s="1574"/>
      <c r="H798" s="1574"/>
      <c r="I798" s="1574"/>
      <c r="J798" s="1412">
        <v>0</v>
      </c>
      <c r="K798" s="1412">
        <v>0</v>
      </c>
      <c r="L798" s="1412">
        <v>0</v>
      </c>
      <c r="M798" s="1575">
        <v>0</v>
      </c>
      <c r="N798" s="1575"/>
      <c r="O798" s="1575">
        <v>0</v>
      </c>
      <c r="P798" s="1575"/>
      <c r="Q798" s="1575">
        <v>0</v>
      </c>
      <c r="R798" s="1575"/>
      <c r="S798" s="1575"/>
      <c r="T798" s="1575"/>
      <c r="U798" s="1575"/>
    </row>
    <row r="799" spans="1:21" ht="10.9" customHeight="1">
      <c r="A799" s="1574" t="s">
        <v>345</v>
      </c>
      <c r="B799" s="1574"/>
      <c r="C799" s="1574" t="s">
        <v>5606</v>
      </c>
      <c r="D799" s="1574"/>
      <c r="E799" s="1574"/>
      <c r="F799" s="1574" t="s">
        <v>5607</v>
      </c>
      <c r="G799" s="1574"/>
      <c r="H799" s="1574"/>
      <c r="I799" s="1574"/>
      <c r="J799" s="1412">
        <v>0</v>
      </c>
      <c r="K799" s="1412">
        <v>0</v>
      </c>
      <c r="L799" s="1412">
        <v>0</v>
      </c>
      <c r="M799" s="1575">
        <v>3598</v>
      </c>
      <c r="N799" s="1575"/>
      <c r="O799" s="1575">
        <v>0</v>
      </c>
      <c r="P799" s="1575"/>
      <c r="Q799" s="1575">
        <v>3598</v>
      </c>
      <c r="R799" s="1575"/>
      <c r="S799" s="1575"/>
      <c r="T799" s="1575"/>
      <c r="U799" s="1575"/>
    </row>
    <row r="800" spans="1:21" ht="10.9" customHeight="1">
      <c r="A800" s="1574" t="s">
        <v>345</v>
      </c>
      <c r="B800" s="1574"/>
      <c r="C800" s="1574" t="s">
        <v>5677</v>
      </c>
      <c r="D800" s="1574"/>
      <c r="E800" s="1574"/>
      <c r="F800" s="1574" t="s">
        <v>5678</v>
      </c>
      <c r="G800" s="1574"/>
      <c r="H800" s="1574"/>
      <c r="I800" s="1574"/>
      <c r="J800" s="1412">
        <v>0</v>
      </c>
      <c r="K800" s="1412">
        <v>0</v>
      </c>
      <c r="L800" s="1412">
        <v>221372.14</v>
      </c>
      <c r="M800" s="1575">
        <v>221372.14</v>
      </c>
      <c r="N800" s="1575"/>
      <c r="O800" s="1575">
        <v>0</v>
      </c>
      <c r="P800" s="1575"/>
      <c r="Q800" s="1575">
        <v>0</v>
      </c>
      <c r="R800" s="1575"/>
      <c r="S800" s="1575"/>
      <c r="T800" s="1575"/>
      <c r="U800" s="1575"/>
    </row>
    <row r="801" spans="1:23" ht="10.9" customHeight="1">
      <c r="A801" s="1574" t="s">
        <v>345</v>
      </c>
      <c r="B801" s="1574"/>
      <c r="C801" s="1574" t="s">
        <v>5966</v>
      </c>
      <c r="D801" s="1574"/>
      <c r="E801" s="1574"/>
      <c r="F801" s="1574" t="s">
        <v>5967</v>
      </c>
      <c r="G801" s="1574"/>
      <c r="H801" s="1574"/>
      <c r="I801" s="1574"/>
      <c r="J801" s="1412">
        <v>0</v>
      </c>
      <c r="K801" s="1412">
        <v>0</v>
      </c>
      <c r="L801" s="1412">
        <v>0</v>
      </c>
      <c r="M801" s="1575">
        <v>0</v>
      </c>
      <c r="N801" s="1575"/>
      <c r="O801" s="1575">
        <v>0</v>
      </c>
      <c r="P801" s="1575"/>
      <c r="Q801" s="1575">
        <v>0</v>
      </c>
      <c r="R801" s="1575"/>
      <c r="S801" s="1575"/>
      <c r="T801" s="1575"/>
      <c r="U801" s="1575"/>
    </row>
    <row r="802" spans="1:23" ht="10.9" customHeight="1">
      <c r="A802" s="1574" t="s">
        <v>345</v>
      </c>
      <c r="B802" s="1574"/>
      <c r="C802" s="1574" t="s">
        <v>7032</v>
      </c>
      <c r="D802" s="1574"/>
      <c r="E802" s="1574"/>
      <c r="F802" s="1574" t="s">
        <v>7033</v>
      </c>
      <c r="G802" s="1574"/>
      <c r="H802" s="1574"/>
      <c r="I802" s="1574"/>
      <c r="J802" s="1412">
        <v>0</v>
      </c>
      <c r="K802" s="1412">
        <v>0</v>
      </c>
      <c r="L802" s="1412">
        <v>0</v>
      </c>
      <c r="M802" s="1575">
        <v>8584</v>
      </c>
      <c r="N802" s="1575"/>
      <c r="O802" s="1575">
        <v>0</v>
      </c>
      <c r="P802" s="1575"/>
      <c r="Q802" s="1575">
        <v>8584</v>
      </c>
      <c r="R802" s="1575"/>
      <c r="S802" s="1575"/>
      <c r="T802" s="1575"/>
      <c r="U802" s="1575"/>
    </row>
    <row r="803" spans="1:23" ht="10.9" customHeight="1">
      <c r="A803" s="1574" t="s">
        <v>345</v>
      </c>
      <c r="B803" s="1574"/>
      <c r="C803" s="1574" t="s">
        <v>7034</v>
      </c>
      <c r="D803" s="1574"/>
      <c r="E803" s="1574"/>
      <c r="F803" s="1574" t="s">
        <v>5909</v>
      </c>
      <c r="G803" s="1574"/>
      <c r="H803" s="1574"/>
      <c r="I803" s="1574"/>
      <c r="J803" s="1412">
        <v>0</v>
      </c>
      <c r="K803" s="1412">
        <v>0</v>
      </c>
      <c r="L803" s="1412">
        <v>0</v>
      </c>
      <c r="M803" s="1575">
        <v>510</v>
      </c>
      <c r="N803" s="1575"/>
      <c r="O803" s="1575">
        <v>0</v>
      </c>
      <c r="P803" s="1575"/>
      <c r="Q803" s="1575">
        <v>510</v>
      </c>
      <c r="R803" s="1575"/>
      <c r="S803" s="1575"/>
      <c r="T803" s="1575"/>
      <c r="U803" s="1575"/>
    </row>
    <row r="804" spans="1:23" ht="10.9" customHeight="1">
      <c r="A804" s="1574" t="s">
        <v>345</v>
      </c>
      <c r="B804" s="1574"/>
      <c r="C804" s="1574" t="s">
        <v>2858</v>
      </c>
      <c r="D804" s="1574"/>
      <c r="E804" s="1574"/>
      <c r="F804" s="1574" t="s">
        <v>2859</v>
      </c>
      <c r="G804" s="1574"/>
      <c r="H804" s="1574"/>
      <c r="I804" s="1574"/>
      <c r="J804" s="1412">
        <v>0</v>
      </c>
      <c r="K804" s="1412">
        <v>19586.150000000001</v>
      </c>
      <c r="L804" s="1412">
        <v>19586.150000000001</v>
      </c>
      <c r="M804" s="1575">
        <v>46.39</v>
      </c>
      <c r="N804" s="1575"/>
      <c r="O804" s="1575">
        <v>0</v>
      </c>
      <c r="P804" s="1575"/>
      <c r="Q804" s="1575">
        <v>46.39</v>
      </c>
      <c r="R804" s="1575"/>
      <c r="S804" s="1575"/>
      <c r="T804" s="1575"/>
      <c r="U804" s="1575"/>
    </row>
    <row r="805" spans="1:23" ht="10.9" customHeight="1">
      <c r="A805" s="1574" t="s">
        <v>345</v>
      </c>
      <c r="B805" s="1574"/>
      <c r="C805" s="1574" t="s">
        <v>2860</v>
      </c>
      <c r="D805" s="1574"/>
      <c r="E805" s="1574"/>
      <c r="F805" s="1574" t="s">
        <v>2861</v>
      </c>
      <c r="G805" s="1574"/>
      <c r="H805" s="1574"/>
      <c r="I805" s="1574"/>
      <c r="J805" s="1412">
        <v>0</v>
      </c>
      <c r="K805" s="1412">
        <v>19586.150000000001</v>
      </c>
      <c r="L805" s="1412">
        <v>19586.150000000001</v>
      </c>
      <c r="M805" s="1575">
        <v>46.39</v>
      </c>
      <c r="N805" s="1575"/>
      <c r="O805" s="1575">
        <v>0</v>
      </c>
      <c r="P805" s="1575"/>
      <c r="Q805" s="1575">
        <v>46.39</v>
      </c>
      <c r="R805" s="1575"/>
      <c r="S805" s="1575"/>
      <c r="T805" s="1575"/>
      <c r="U805" s="1575"/>
    </row>
    <row r="806" spans="1:23" ht="10.9" customHeight="1">
      <c r="A806" s="1574" t="s">
        <v>345</v>
      </c>
      <c r="B806" s="1574"/>
      <c r="C806" s="1574" t="s">
        <v>6469</v>
      </c>
      <c r="D806" s="1574"/>
      <c r="E806" s="1574"/>
      <c r="F806" s="1574" t="s">
        <v>6470</v>
      </c>
      <c r="G806" s="1574"/>
      <c r="H806" s="1574"/>
      <c r="I806" s="1574"/>
      <c r="J806" s="1412">
        <v>0</v>
      </c>
      <c r="K806" s="1412">
        <v>8063.79</v>
      </c>
      <c r="L806" s="1412">
        <v>8063.79</v>
      </c>
      <c r="M806" s="1575">
        <v>0</v>
      </c>
      <c r="N806" s="1575"/>
      <c r="O806" s="1575">
        <v>0</v>
      </c>
      <c r="P806" s="1575"/>
      <c r="Q806" s="1575">
        <v>0</v>
      </c>
      <c r="R806" s="1575"/>
      <c r="S806" s="1575"/>
      <c r="T806" s="1575"/>
      <c r="U806" s="1575"/>
    </row>
    <row r="807" spans="1:23" ht="10.9" customHeight="1">
      <c r="A807" s="1574" t="s">
        <v>345</v>
      </c>
      <c r="B807" s="1574"/>
      <c r="C807" s="1574" t="s">
        <v>7035</v>
      </c>
      <c r="D807" s="1574"/>
      <c r="E807" s="1574"/>
      <c r="F807" s="1574" t="s">
        <v>2019</v>
      </c>
      <c r="G807" s="1574"/>
      <c r="H807" s="1574"/>
      <c r="I807" s="1574"/>
      <c r="J807" s="1412">
        <v>0</v>
      </c>
      <c r="K807" s="1412">
        <v>0</v>
      </c>
      <c r="L807" s="1412">
        <v>0</v>
      </c>
      <c r="M807" s="1575">
        <v>19.95</v>
      </c>
      <c r="N807" s="1575"/>
      <c r="O807" s="1575">
        <v>0</v>
      </c>
      <c r="P807" s="1575"/>
      <c r="Q807" s="1575">
        <v>19.95</v>
      </c>
      <c r="R807" s="1575"/>
      <c r="S807" s="1575"/>
      <c r="T807" s="1575"/>
      <c r="U807" s="1575"/>
    </row>
    <row r="808" spans="1:23" ht="10.9" customHeight="1">
      <c r="A808" s="1574" t="s">
        <v>345</v>
      </c>
      <c r="B808" s="1574"/>
      <c r="C808" s="1574" t="s">
        <v>3226</v>
      </c>
      <c r="D808" s="1574"/>
      <c r="E808" s="1574"/>
      <c r="F808" s="1574" t="s">
        <v>2030</v>
      </c>
      <c r="G808" s="1574"/>
      <c r="H808" s="1574"/>
      <c r="I808" s="1574"/>
      <c r="J808" s="1412">
        <v>0</v>
      </c>
      <c r="K808" s="1412">
        <v>8479.58</v>
      </c>
      <c r="L808" s="1412">
        <v>8479.58</v>
      </c>
      <c r="M808" s="1575">
        <v>0</v>
      </c>
      <c r="N808" s="1575"/>
      <c r="O808" s="1575">
        <v>0</v>
      </c>
      <c r="P808" s="1575"/>
      <c r="Q808" s="1575">
        <v>0</v>
      </c>
      <c r="R808" s="1575"/>
      <c r="S808" s="1575"/>
      <c r="T808" s="1575"/>
      <c r="U808" s="1575"/>
    </row>
    <row r="809" spans="1:23" ht="10.9" customHeight="1">
      <c r="A809" s="1574" t="s">
        <v>345</v>
      </c>
      <c r="B809" s="1574"/>
      <c r="C809" s="1574" t="s">
        <v>5679</v>
      </c>
      <c r="D809" s="1574"/>
      <c r="E809" s="1574"/>
      <c r="F809" s="1574" t="s">
        <v>2072</v>
      </c>
      <c r="G809" s="1574"/>
      <c r="H809" s="1574"/>
      <c r="I809" s="1574"/>
      <c r="J809" s="1412">
        <v>0</v>
      </c>
      <c r="K809" s="1412">
        <v>368.37</v>
      </c>
      <c r="L809" s="1412">
        <v>368.37</v>
      </c>
      <c r="M809" s="1575">
        <v>0</v>
      </c>
      <c r="N809" s="1575"/>
      <c r="O809" s="1575">
        <v>0</v>
      </c>
      <c r="P809" s="1575"/>
      <c r="Q809" s="1575">
        <v>0</v>
      </c>
      <c r="R809" s="1575"/>
      <c r="S809" s="1575"/>
      <c r="T809" s="1575"/>
      <c r="U809" s="1575"/>
    </row>
    <row r="810" spans="1:23" ht="10.9" customHeight="1">
      <c r="A810" s="1574" t="s">
        <v>345</v>
      </c>
      <c r="B810" s="1574"/>
      <c r="C810" s="1574" t="s">
        <v>5680</v>
      </c>
      <c r="D810" s="1574"/>
      <c r="E810" s="1574"/>
      <c r="F810" s="1574" t="s">
        <v>2078</v>
      </c>
      <c r="G810" s="1574"/>
      <c r="H810" s="1574"/>
      <c r="I810" s="1574"/>
      <c r="J810" s="1412">
        <v>0</v>
      </c>
      <c r="K810" s="1412">
        <v>0</v>
      </c>
      <c r="L810" s="1412">
        <v>0</v>
      </c>
      <c r="M810" s="1575">
        <v>0</v>
      </c>
      <c r="N810" s="1575"/>
      <c r="O810" s="1575">
        <v>0</v>
      </c>
      <c r="P810" s="1575"/>
      <c r="Q810" s="1575">
        <v>0</v>
      </c>
      <c r="R810" s="1575"/>
      <c r="S810" s="1575"/>
      <c r="T810" s="1575"/>
      <c r="U810" s="1575"/>
    </row>
    <row r="811" spans="1:23" ht="5.85" customHeight="1"/>
    <row r="812" spans="1:23" ht="14.1" customHeight="1">
      <c r="S812" s="1573" t="s">
        <v>2388</v>
      </c>
      <c r="T812" s="1573"/>
      <c r="U812" s="1573"/>
      <c r="V812" s="1573"/>
      <c r="W812" s="1573"/>
    </row>
    <row r="813" spans="1:23" ht="7.15" customHeight="1">
      <c r="C813" s="1586" t="s">
        <v>2987</v>
      </c>
      <c r="D813" s="1586"/>
      <c r="E813" s="1586"/>
      <c r="F813" s="1586"/>
      <c r="G813" s="1586"/>
      <c r="H813" s="1586"/>
      <c r="I813" s="1586"/>
      <c r="J813" s="1586"/>
      <c r="K813" s="1586"/>
      <c r="L813" s="1586"/>
      <c r="M813" s="1586"/>
      <c r="N813" s="1586"/>
      <c r="O813" s="1586"/>
      <c r="P813" s="1586"/>
      <c r="Q813" s="1586"/>
      <c r="R813" s="1586"/>
      <c r="S813" s="1586"/>
      <c r="T813" s="1586"/>
    </row>
    <row r="814" spans="1:23" ht="9.6" customHeight="1">
      <c r="A814" s="1587"/>
      <c r="B814" s="1587"/>
      <c r="C814" s="1587"/>
      <c r="D814" s="1587"/>
      <c r="E814" s="1587"/>
      <c r="F814" s="1587"/>
      <c r="G814" s="1586"/>
      <c r="H814" s="1586"/>
      <c r="I814" s="1586"/>
      <c r="J814" s="1586"/>
      <c r="K814" s="1586"/>
      <c r="L814" s="1586"/>
      <c r="M814" s="1586"/>
      <c r="N814" s="1586"/>
      <c r="O814" s="1586"/>
      <c r="P814" s="1586"/>
      <c r="Q814" s="1586"/>
      <c r="R814" s="1586"/>
      <c r="S814" s="1586"/>
      <c r="T814" s="1586"/>
    </row>
    <row r="815" spans="1:23" ht="13.35" customHeight="1">
      <c r="A815" s="1587"/>
      <c r="B815" s="1587"/>
      <c r="C815" s="1587"/>
      <c r="D815" s="1587"/>
      <c r="E815" s="1587"/>
      <c r="F815" s="1587"/>
      <c r="G815" s="1588" t="s">
        <v>79</v>
      </c>
      <c r="H815" s="1588"/>
      <c r="I815" s="1588"/>
      <c r="J815" s="1588"/>
      <c r="K815" s="1588"/>
      <c r="L815" s="1588"/>
      <c r="M815" s="1588"/>
      <c r="N815" s="1588"/>
      <c r="O815" s="1588"/>
      <c r="P815" s="1588"/>
      <c r="Q815" s="1588"/>
      <c r="R815" s="1588"/>
    </row>
    <row r="816" spans="1:23" ht="5.25" customHeight="1">
      <c r="A816" s="1587"/>
      <c r="B816" s="1587"/>
      <c r="C816" s="1587"/>
      <c r="D816" s="1587"/>
      <c r="E816" s="1587"/>
      <c r="F816" s="1587"/>
      <c r="G816" s="1581" t="s">
        <v>7015</v>
      </c>
      <c r="H816" s="1581"/>
      <c r="I816" s="1581"/>
      <c r="J816" s="1581"/>
      <c r="K816" s="1581"/>
      <c r="L816" s="1581"/>
      <c r="M816" s="1581"/>
      <c r="N816" s="1581"/>
      <c r="O816" s="1581"/>
      <c r="P816" s="1581"/>
      <c r="Q816" s="1581"/>
    </row>
    <row r="817" spans="1:23" ht="8.1" customHeight="1">
      <c r="B817" s="1580" t="s">
        <v>1916</v>
      </c>
      <c r="C817" s="1580"/>
      <c r="D817" s="1580"/>
      <c r="E817" s="1580"/>
      <c r="F817" s="1580"/>
      <c r="G817" s="1580"/>
      <c r="H817" s="1581"/>
      <c r="I817" s="1581"/>
      <c r="J817" s="1581"/>
      <c r="K817" s="1581"/>
      <c r="L817" s="1581"/>
      <c r="M817" s="1581"/>
      <c r="N817" s="1582" t="s">
        <v>5619</v>
      </c>
      <c r="O817" s="1582"/>
      <c r="P817" s="1582"/>
      <c r="Q817" s="1582"/>
      <c r="R817" s="1582"/>
      <c r="S817" s="1582"/>
      <c r="T817" s="1583" t="s">
        <v>7016</v>
      </c>
      <c r="U817" s="1583"/>
      <c r="V817" s="1583"/>
      <c r="W817" s="1583"/>
    </row>
    <row r="818" spans="1:23" ht="6" customHeight="1">
      <c r="B818" s="1580"/>
      <c r="C818" s="1580"/>
      <c r="D818" s="1580"/>
      <c r="E818" s="1580"/>
      <c r="F818" s="1580"/>
      <c r="G818" s="1580"/>
      <c r="H818" s="1584" t="s">
        <v>7017</v>
      </c>
      <c r="I818" s="1584"/>
      <c r="J818" s="1584"/>
      <c r="K818" s="1584"/>
      <c r="L818" s="1584"/>
      <c r="M818" s="1584"/>
      <c r="N818" s="1582"/>
      <c r="O818" s="1582"/>
      <c r="P818" s="1582"/>
      <c r="Q818" s="1582"/>
      <c r="R818" s="1582"/>
      <c r="S818" s="1582"/>
      <c r="T818" s="1583"/>
      <c r="U818" s="1583"/>
      <c r="V818" s="1583"/>
      <c r="W818" s="1583"/>
    </row>
    <row r="819" spans="1:23" ht="7.35" customHeight="1">
      <c r="B819" s="1580" t="s">
        <v>1994</v>
      </c>
      <c r="C819" s="1580"/>
      <c r="D819" s="1580"/>
      <c r="E819" s="1585"/>
      <c r="F819" s="1585"/>
      <c r="G819" s="1585"/>
      <c r="H819" s="1585"/>
      <c r="I819" s="1585"/>
      <c r="J819" s="1585"/>
      <c r="K819" s="1585"/>
      <c r="L819" s="1585"/>
      <c r="M819" s="1585"/>
      <c r="N819" s="1585"/>
      <c r="O819" s="1585"/>
      <c r="P819" s="1585"/>
      <c r="Q819" s="1585"/>
      <c r="R819" s="1582"/>
      <c r="S819" s="1582"/>
      <c r="T819" s="1582" t="s">
        <v>7018</v>
      </c>
      <c r="U819" s="1582"/>
    </row>
    <row r="820" spans="1:23" ht="6.75" customHeight="1">
      <c r="E820" s="1585"/>
      <c r="F820" s="1585"/>
      <c r="G820" s="1585"/>
      <c r="H820" s="1585"/>
      <c r="I820" s="1585"/>
      <c r="J820" s="1585"/>
      <c r="K820" s="1585"/>
      <c r="L820" s="1585"/>
      <c r="M820" s="1585"/>
      <c r="N820" s="1585"/>
      <c r="O820" s="1585"/>
      <c r="P820" s="1585"/>
      <c r="Q820" s="1585"/>
      <c r="R820" s="1582"/>
      <c r="S820" s="1582"/>
      <c r="T820" s="1582"/>
      <c r="U820" s="1582"/>
    </row>
    <row r="821" spans="1:23" ht="10.9" customHeight="1">
      <c r="A821" s="1576"/>
      <c r="B821" s="1576"/>
      <c r="C821" s="1576"/>
      <c r="D821" s="1576"/>
      <c r="E821" s="1576"/>
      <c r="F821" s="1576"/>
      <c r="G821" s="1576"/>
      <c r="H821" s="1576"/>
      <c r="I821" s="1576"/>
      <c r="J821" s="1577" t="s">
        <v>1314</v>
      </c>
      <c r="K821" s="1577"/>
      <c r="L821" s="1577" t="s">
        <v>1315</v>
      </c>
      <c r="M821" s="1577"/>
      <c r="N821" s="1577"/>
      <c r="O821" s="1577" t="s">
        <v>1316</v>
      </c>
      <c r="P821" s="1577"/>
      <c r="Q821" s="1577"/>
      <c r="R821" s="1577"/>
      <c r="S821" s="1577"/>
      <c r="T821" s="1577"/>
      <c r="U821" s="1577"/>
    </row>
    <row r="822" spans="1:23" ht="14.1" customHeight="1">
      <c r="A822" s="1578" t="s">
        <v>1317</v>
      </c>
      <c r="B822" s="1578"/>
      <c r="C822" s="1578" t="s">
        <v>1318</v>
      </c>
      <c r="D822" s="1578"/>
      <c r="E822" s="1578"/>
      <c r="F822" s="1578" t="s">
        <v>1319</v>
      </c>
      <c r="G822" s="1578"/>
      <c r="H822" s="1578"/>
      <c r="I822" s="1578"/>
      <c r="J822" s="1413" t="s">
        <v>1320</v>
      </c>
      <c r="K822" s="1413" t="s">
        <v>1321</v>
      </c>
      <c r="L822" s="1413" t="s">
        <v>1320</v>
      </c>
      <c r="M822" s="1579" t="s">
        <v>1321</v>
      </c>
      <c r="N822" s="1579"/>
      <c r="O822" s="1579" t="s">
        <v>1320</v>
      </c>
      <c r="P822" s="1579"/>
      <c r="Q822" s="1579" t="s">
        <v>1321</v>
      </c>
      <c r="R822" s="1579"/>
      <c r="S822" s="1579"/>
      <c r="T822" s="1579"/>
      <c r="U822" s="1579"/>
    </row>
    <row r="823" spans="1:23" ht="14.1" customHeight="1">
      <c r="A823" s="1574" t="s">
        <v>345</v>
      </c>
      <c r="B823" s="1574"/>
      <c r="C823" s="1574" t="s">
        <v>6549</v>
      </c>
      <c r="D823" s="1574"/>
      <c r="E823" s="1574"/>
      <c r="F823" s="1574" t="s">
        <v>2107</v>
      </c>
      <c r="G823" s="1574"/>
      <c r="H823" s="1574"/>
      <c r="I823" s="1574"/>
      <c r="J823" s="1412">
        <v>0</v>
      </c>
      <c r="K823" s="1412">
        <v>0</v>
      </c>
      <c r="L823" s="1412">
        <v>0</v>
      </c>
      <c r="M823" s="1575">
        <v>0</v>
      </c>
      <c r="N823" s="1575"/>
      <c r="O823" s="1575">
        <v>0</v>
      </c>
      <c r="P823" s="1575"/>
      <c r="Q823" s="1575">
        <v>0</v>
      </c>
      <c r="R823" s="1575"/>
      <c r="S823" s="1575"/>
      <c r="T823" s="1575"/>
      <c r="U823" s="1575"/>
    </row>
    <row r="824" spans="1:23" ht="10.9" customHeight="1">
      <c r="A824" s="1574" t="s">
        <v>345</v>
      </c>
      <c r="B824" s="1574"/>
      <c r="C824" s="1574" t="s">
        <v>5968</v>
      </c>
      <c r="D824" s="1574"/>
      <c r="E824" s="1574"/>
      <c r="F824" s="1574" t="s">
        <v>2125</v>
      </c>
      <c r="G824" s="1574"/>
      <c r="H824" s="1574"/>
      <c r="I824" s="1574"/>
      <c r="J824" s="1412">
        <v>0</v>
      </c>
      <c r="K824" s="1412">
        <v>0</v>
      </c>
      <c r="L824" s="1412">
        <v>0</v>
      </c>
      <c r="M824" s="1575">
        <v>0</v>
      </c>
      <c r="N824" s="1575"/>
      <c r="O824" s="1575">
        <v>0</v>
      </c>
      <c r="P824" s="1575"/>
      <c r="Q824" s="1575">
        <v>0</v>
      </c>
      <c r="R824" s="1575"/>
      <c r="S824" s="1575"/>
      <c r="T824" s="1575"/>
      <c r="U824" s="1575"/>
    </row>
    <row r="825" spans="1:23" ht="10.9" customHeight="1">
      <c r="A825" s="1574" t="s">
        <v>345</v>
      </c>
      <c r="B825" s="1574"/>
      <c r="C825" s="1574" t="s">
        <v>6831</v>
      </c>
      <c r="D825" s="1574"/>
      <c r="E825" s="1574"/>
      <c r="F825" s="1574" t="s">
        <v>6832</v>
      </c>
      <c r="G825" s="1574"/>
      <c r="H825" s="1574"/>
      <c r="I825" s="1574"/>
      <c r="J825" s="1412">
        <v>0</v>
      </c>
      <c r="K825" s="1412">
        <v>81.680000000000007</v>
      </c>
      <c r="L825" s="1412">
        <v>81.680000000000007</v>
      </c>
      <c r="M825" s="1575">
        <v>0</v>
      </c>
      <c r="N825" s="1575"/>
      <c r="O825" s="1575">
        <v>0</v>
      </c>
      <c r="P825" s="1575"/>
      <c r="Q825" s="1575">
        <v>0</v>
      </c>
      <c r="R825" s="1575"/>
      <c r="S825" s="1575"/>
      <c r="T825" s="1575"/>
      <c r="U825" s="1575"/>
    </row>
    <row r="826" spans="1:23" ht="10.9" customHeight="1">
      <c r="A826" s="1574" t="s">
        <v>345</v>
      </c>
      <c r="B826" s="1574"/>
      <c r="C826" s="1574" t="s">
        <v>7036</v>
      </c>
      <c r="D826" s="1574"/>
      <c r="E826" s="1574"/>
      <c r="F826" s="1574" t="s">
        <v>2850</v>
      </c>
      <c r="G826" s="1574"/>
      <c r="H826" s="1574"/>
      <c r="I826" s="1574"/>
      <c r="J826" s="1412">
        <v>0</v>
      </c>
      <c r="K826" s="1412">
        <v>0</v>
      </c>
      <c r="L826" s="1412">
        <v>0</v>
      </c>
      <c r="M826" s="1575">
        <v>26.44</v>
      </c>
      <c r="N826" s="1575"/>
      <c r="O826" s="1575">
        <v>0</v>
      </c>
      <c r="P826" s="1575"/>
      <c r="Q826" s="1575">
        <v>26.44</v>
      </c>
      <c r="R826" s="1575"/>
      <c r="S826" s="1575"/>
      <c r="T826" s="1575"/>
      <c r="U826" s="1575"/>
    </row>
    <row r="827" spans="1:23" ht="19.149999999999999" customHeight="1">
      <c r="A827" s="1574" t="s">
        <v>345</v>
      </c>
      <c r="B827" s="1574"/>
      <c r="C827" s="1574" t="s">
        <v>6266</v>
      </c>
      <c r="D827" s="1574"/>
      <c r="E827" s="1574"/>
      <c r="F827" s="1574" t="s">
        <v>2973</v>
      </c>
      <c r="G827" s="1574"/>
      <c r="H827" s="1574"/>
      <c r="I827" s="1574"/>
      <c r="J827" s="1412">
        <v>0</v>
      </c>
      <c r="K827" s="1412">
        <v>1585.49</v>
      </c>
      <c r="L827" s="1412">
        <v>1585.49</v>
      </c>
      <c r="M827" s="1575">
        <v>0</v>
      </c>
      <c r="N827" s="1575"/>
      <c r="O827" s="1575">
        <v>0</v>
      </c>
      <c r="P827" s="1575"/>
      <c r="Q827" s="1575">
        <v>0</v>
      </c>
      <c r="R827" s="1575"/>
      <c r="S827" s="1575"/>
      <c r="T827" s="1575"/>
      <c r="U827" s="1575"/>
    </row>
    <row r="828" spans="1:23" ht="10.9" customHeight="1">
      <c r="A828" s="1574" t="s">
        <v>345</v>
      </c>
      <c r="B828" s="1574"/>
      <c r="C828" s="1574" t="s">
        <v>5804</v>
      </c>
      <c r="D828" s="1574"/>
      <c r="E828" s="1574"/>
      <c r="F828" s="1574" t="s">
        <v>3140</v>
      </c>
      <c r="G828" s="1574"/>
      <c r="H828" s="1574"/>
      <c r="I828" s="1574"/>
      <c r="J828" s="1412">
        <v>0</v>
      </c>
      <c r="K828" s="1412">
        <v>201.5</v>
      </c>
      <c r="L828" s="1412">
        <v>201.5</v>
      </c>
      <c r="M828" s="1575">
        <v>0</v>
      </c>
      <c r="N828" s="1575"/>
      <c r="O828" s="1575">
        <v>0</v>
      </c>
      <c r="P828" s="1575"/>
      <c r="Q828" s="1575">
        <v>0</v>
      </c>
      <c r="R828" s="1575"/>
      <c r="S828" s="1575"/>
      <c r="T828" s="1575"/>
      <c r="U828" s="1575"/>
    </row>
    <row r="829" spans="1:23" ht="10.9" customHeight="1">
      <c r="A829" s="1574" t="s">
        <v>345</v>
      </c>
      <c r="B829" s="1574"/>
      <c r="C829" s="1574" t="s">
        <v>5608</v>
      </c>
      <c r="D829" s="1574"/>
      <c r="E829" s="1574"/>
      <c r="F829" s="1574" t="s">
        <v>3360</v>
      </c>
      <c r="G829" s="1574"/>
      <c r="H829" s="1574"/>
      <c r="I829" s="1574"/>
      <c r="J829" s="1412">
        <v>0</v>
      </c>
      <c r="K829" s="1412">
        <v>0</v>
      </c>
      <c r="L829" s="1412">
        <v>0</v>
      </c>
      <c r="M829" s="1575">
        <v>0</v>
      </c>
      <c r="N829" s="1575"/>
      <c r="O829" s="1575">
        <v>0</v>
      </c>
      <c r="P829" s="1575"/>
      <c r="Q829" s="1575">
        <v>0</v>
      </c>
      <c r="R829" s="1575"/>
      <c r="S829" s="1575"/>
      <c r="T829" s="1575"/>
      <c r="U829" s="1575"/>
    </row>
    <row r="830" spans="1:23" ht="10.9" customHeight="1">
      <c r="A830" s="1574" t="s">
        <v>345</v>
      </c>
      <c r="B830" s="1574"/>
      <c r="C830" s="1574" t="s">
        <v>6471</v>
      </c>
      <c r="D830" s="1574"/>
      <c r="E830" s="1574"/>
      <c r="F830" s="1574" t="s">
        <v>4014</v>
      </c>
      <c r="G830" s="1574"/>
      <c r="H830" s="1574"/>
      <c r="I830" s="1574"/>
      <c r="J830" s="1412">
        <v>0</v>
      </c>
      <c r="K830" s="1412">
        <v>312.64</v>
      </c>
      <c r="L830" s="1412">
        <v>312.64</v>
      </c>
      <c r="M830" s="1575">
        <v>0</v>
      </c>
      <c r="N830" s="1575"/>
      <c r="O830" s="1575">
        <v>0</v>
      </c>
      <c r="P830" s="1575"/>
      <c r="Q830" s="1575">
        <v>0</v>
      </c>
      <c r="R830" s="1575"/>
      <c r="S830" s="1575"/>
      <c r="T830" s="1575"/>
      <c r="U830" s="1575"/>
    </row>
    <row r="831" spans="1:23" ht="10.9" customHeight="1">
      <c r="A831" s="1574" t="s">
        <v>345</v>
      </c>
      <c r="B831" s="1574"/>
      <c r="C831" s="1574" t="s">
        <v>6267</v>
      </c>
      <c r="D831" s="1574"/>
      <c r="E831" s="1574"/>
      <c r="F831" s="1574" t="s">
        <v>4121</v>
      </c>
      <c r="G831" s="1574"/>
      <c r="H831" s="1574"/>
      <c r="I831" s="1574"/>
      <c r="J831" s="1412">
        <v>0</v>
      </c>
      <c r="K831" s="1412">
        <v>331.37</v>
      </c>
      <c r="L831" s="1412">
        <v>331.37</v>
      </c>
      <c r="M831" s="1575">
        <v>0</v>
      </c>
      <c r="N831" s="1575"/>
      <c r="O831" s="1575">
        <v>0</v>
      </c>
      <c r="P831" s="1575"/>
      <c r="Q831" s="1575">
        <v>0</v>
      </c>
      <c r="R831" s="1575"/>
      <c r="S831" s="1575"/>
      <c r="T831" s="1575"/>
      <c r="U831" s="1575"/>
    </row>
    <row r="832" spans="1:23" ht="10.9" customHeight="1">
      <c r="A832" s="1574" t="s">
        <v>345</v>
      </c>
      <c r="B832" s="1574"/>
      <c r="C832" s="1574" t="s">
        <v>5969</v>
      </c>
      <c r="D832" s="1574"/>
      <c r="E832" s="1574"/>
      <c r="F832" s="1574" t="s">
        <v>5272</v>
      </c>
      <c r="G832" s="1574"/>
      <c r="H832" s="1574"/>
      <c r="I832" s="1574"/>
      <c r="J832" s="1412">
        <v>0</v>
      </c>
      <c r="K832" s="1412">
        <v>0</v>
      </c>
      <c r="L832" s="1412">
        <v>0</v>
      </c>
      <c r="M832" s="1575">
        <v>0</v>
      </c>
      <c r="N832" s="1575"/>
      <c r="O832" s="1575">
        <v>0</v>
      </c>
      <c r="P832" s="1575"/>
      <c r="Q832" s="1575">
        <v>0</v>
      </c>
      <c r="R832" s="1575"/>
      <c r="S832" s="1575"/>
      <c r="T832" s="1575"/>
      <c r="U832" s="1575"/>
    </row>
    <row r="833" spans="1:21" ht="10.9" customHeight="1">
      <c r="A833" s="1574" t="s">
        <v>345</v>
      </c>
      <c r="B833" s="1574"/>
      <c r="C833" s="1574" t="s">
        <v>5970</v>
      </c>
      <c r="D833" s="1574"/>
      <c r="E833" s="1574"/>
      <c r="F833" s="1574" t="s">
        <v>5314</v>
      </c>
      <c r="G833" s="1574"/>
      <c r="H833" s="1574"/>
      <c r="I833" s="1574"/>
      <c r="J833" s="1412">
        <v>0</v>
      </c>
      <c r="K833" s="1412">
        <v>0</v>
      </c>
      <c r="L833" s="1412">
        <v>0</v>
      </c>
      <c r="M833" s="1575">
        <v>0</v>
      </c>
      <c r="N833" s="1575"/>
      <c r="O833" s="1575">
        <v>0</v>
      </c>
      <c r="P833" s="1575"/>
      <c r="Q833" s="1575">
        <v>0</v>
      </c>
      <c r="R833" s="1575"/>
      <c r="S833" s="1575"/>
      <c r="T833" s="1575"/>
      <c r="U833" s="1575"/>
    </row>
    <row r="834" spans="1:21" ht="10.9" customHeight="1">
      <c r="A834" s="1574" t="s">
        <v>345</v>
      </c>
      <c r="B834" s="1574"/>
      <c r="C834" s="1574" t="s">
        <v>6268</v>
      </c>
      <c r="D834" s="1574"/>
      <c r="E834" s="1574"/>
      <c r="F834" s="1574" t="s">
        <v>6269</v>
      </c>
      <c r="G834" s="1574"/>
      <c r="H834" s="1574"/>
      <c r="I834" s="1574"/>
      <c r="J834" s="1412">
        <v>0</v>
      </c>
      <c r="K834" s="1412">
        <v>161.72999999999999</v>
      </c>
      <c r="L834" s="1412">
        <v>161.72999999999999</v>
      </c>
      <c r="M834" s="1575">
        <v>0</v>
      </c>
      <c r="N834" s="1575"/>
      <c r="O834" s="1575">
        <v>0</v>
      </c>
      <c r="P834" s="1575"/>
      <c r="Q834" s="1575">
        <v>0</v>
      </c>
      <c r="R834" s="1575"/>
      <c r="S834" s="1575"/>
      <c r="T834" s="1575"/>
      <c r="U834" s="1575"/>
    </row>
    <row r="835" spans="1:21" ht="10.9" customHeight="1">
      <c r="A835" s="1574" t="s">
        <v>345</v>
      </c>
      <c r="B835" s="1574"/>
      <c r="C835" s="1574" t="s">
        <v>6323</v>
      </c>
      <c r="D835" s="1574"/>
      <c r="E835" s="1574"/>
      <c r="F835" s="1574" t="s">
        <v>6324</v>
      </c>
      <c r="G835" s="1574"/>
      <c r="H835" s="1574"/>
      <c r="I835" s="1574"/>
      <c r="J835" s="1412">
        <v>0</v>
      </c>
      <c r="K835" s="1412">
        <v>0</v>
      </c>
      <c r="L835" s="1412">
        <v>0</v>
      </c>
      <c r="M835" s="1575">
        <v>0</v>
      </c>
      <c r="N835" s="1575"/>
      <c r="O835" s="1575">
        <v>0</v>
      </c>
      <c r="P835" s="1575"/>
      <c r="Q835" s="1575">
        <v>0</v>
      </c>
      <c r="R835" s="1575"/>
      <c r="S835" s="1575"/>
      <c r="T835" s="1575"/>
      <c r="U835" s="1575"/>
    </row>
    <row r="836" spans="1:21" ht="10.9" customHeight="1">
      <c r="A836" s="1574" t="s">
        <v>345</v>
      </c>
      <c r="B836" s="1574"/>
      <c r="C836" s="1574" t="s">
        <v>2273</v>
      </c>
      <c r="D836" s="1574"/>
      <c r="E836" s="1574"/>
      <c r="F836" s="1574" t="s">
        <v>707</v>
      </c>
      <c r="G836" s="1574"/>
      <c r="H836" s="1574"/>
      <c r="I836" s="1574"/>
      <c r="J836" s="1412">
        <v>0</v>
      </c>
      <c r="K836" s="1412">
        <v>1154448114.7</v>
      </c>
      <c r="L836" s="1412">
        <v>0</v>
      </c>
      <c r="M836" s="1575">
        <v>0</v>
      </c>
      <c r="N836" s="1575"/>
      <c r="O836" s="1575">
        <v>0</v>
      </c>
      <c r="P836" s="1575"/>
      <c r="Q836" s="1575">
        <v>1154448114.7</v>
      </c>
      <c r="R836" s="1575"/>
      <c r="S836" s="1575"/>
      <c r="T836" s="1575"/>
      <c r="U836" s="1575"/>
    </row>
    <row r="837" spans="1:21" ht="10.9" customHeight="1">
      <c r="A837" s="1574" t="s">
        <v>345</v>
      </c>
      <c r="B837" s="1574"/>
      <c r="C837" s="1574" t="s">
        <v>2274</v>
      </c>
      <c r="D837" s="1574"/>
      <c r="E837" s="1574"/>
      <c r="F837" s="1574" t="s">
        <v>2275</v>
      </c>
      <c r="G837" s="1574"/>
      <c r="H837" s="1574"/>
      <c r="I837" s="1574"/>
      <c r="J837" s="1412">
        <v>0</v>
      </c>
      <c r="K837" s="1412">
        <v>278482908.89999998</v>
      </c>
      <c r="L837" s="1412">
        <v>0</v>
      </c>
      <c r="M837" s="1575">
        <v>0</v>
      </c>
      <c r="N837" s="1575"/>
      <c r="O837" s="1575">
        <v>0</v>
      </c>
      <c r="P837" s="1575"/>
      <c r="Q837" s="1575">
        <v>278482908.89999998</v>
      </c>
      <c r="R837" s="1575"/>
      <c r="S837" s="1575"/>
      <c r="T837" s="1575"/>
      <c r="U837" s="1575"/>
    </row>
    <row r="838" spans="1:21" ht="10.9" customHeight="1">
      <c r="A838" s="1574" t="s">
        <v>345</v>
      </c>
      <c r="B838" s="1574"/>
      <c r="C838" s="1574" t="s">
        <v>1604</v>
      </c>
      <c r="D838" s="1574"/>
      <c r="E838" s="1574"/>
      <c r="F838" s="1574" t="s">
        <v>1605</v>
      </c>
      <c r="G838" s="1574"/>
      <c r="H838" s="1574"/>
      <c r="I838" s="1574"/>
      <c r="J838" s="1412">
        <v>0</v>
      </c>
      <c r="K838" s="1412">
        <v>10952891.960000001</v>
      </c>
      <c r="L838" s="1412">
        <v>0</v>
      </c>
      <c r="M838" s="1575">
        <v>0</v>
      </c>
      <c r="N838" s="1575"/>
      <c r="O838" s="1575">
        <v>0</v>
      </c>
      <c r="P838" s="1575"/>
      <c r="Q838" s="1575">
        <v>10952891.960000001</v>
      </c>
      <c r="R838" s="1575"/>
      <c r="S838" s="1575"/>
      <c r="T838" s="1575"/>
      <c r="U838" s="1575"/>
    </row>
    <row r="839" spans="1:21" ht="10.9" customHeight="1">
      <c r="A839" s="1574" t="s">
        <v>345</v>
      </c>
      <c r="B839" s="1574"/>
      <c r="C839" s="1574" t="s">
        <v>1606</v>
      </c>
      <c r="D839" s="1574"/>
      <c r="E839" s="1574"/>
      <c r="F839" s="1574" t="s">
        <v>85</v>
      </c>
      <c r="G839" s="1574"/>
      <c r="H839" s="1574"/>
      <c r="I839" s="1574"/>
      <c r="J839" s="1412">
        <v>0</v>
      </c>
      <c r="K839" s="1412">
        <v>10952891.960000001</v>
      </c>
      <c r="L839" s="1412">
        <v>0</v>
      </c>
      <c r="M839" s="1575">
        <v>0</v>
      </c>
      <c r="N839" s="1575"/>
      <c r="O839" s="1575">
        <v>0</v>
      </c>
      <c r="P839" s="1575"/>
      <c r="Q839" s="1575">
        <v>10952891.960000001</v>
      </c>
      <c r="R839" s="1575"/>
      <c r="S839" s="1575"/>
      <c r="T839" s="1575"/>
      <c r="U839" s="1575"/>
    </row>
    <row r="840" spans="1:21" ht="10.9" customHeight="1">
      <c r="A840" s="1574" t="s">
        <v>345</v>
      </c>
      <c r="B840" s="1574"/>
      <c r="C840" s="1574" t="s">
        <v>1607</v>
      </c>
      <c r="D840" s="1574"/>
      <c r="E840" s="1574"/>
      <c r="F840" s="1574" t="s">
        <v>1608</v>
      </c>
      <c r="G840" s="1574"/>
      <c r="H840" s="1574"/>
      <c r="I840" s="1574"/>
      <c r="J840" s="1412">
        <v>0</v>
      </c>
      <c r="K840" s="1412">
        <v>267530016.94</v>
      </c>
      <c r="L840" s="1412">
        <v>0</v>
      </c>
      <c r="M840" s="1575">
        <v>0</v>
      </c>
      <c r="N840" s="1575"/>
      <c r="O840" s="1575">
        <v>0</v>
      </c>
      <c r="P840" s="1575"/>
      <c r="Q840" s="1575">
        <v>267530016.94</v>
      </c>
      <c r="R840" s="1575"/>
      <c r="S840" s="1575"/>
      <c r="T840" s="1575"/>
      <c r="U840" s="1575"/>
    </row>
    <row r="841" spans="1:21" ht="10.9" customHeight="1">
      <c r="A841" s="1574" t="s">
        <v>345</v>
      </c>
      <c r="B841" s="1574"/>
      <c r="C841" s="1574" t="s">
        <v>1609</v>
      </c>
      <c r="D841" s="1574"/>
      <c r="E841" s="1574"/>
      <c r="F841" s="1574" t="s">
        <v>2276</v>
      </c>
      <c r="G841" s="1574"/>
      <c r="H841" s="1574"/>
      <c r="I841" s="1574"/>
      <c r="J841" s="1412">
        <v>0</v>
      </c>
      <c r="K841" s="1412">
        <v>267530016.94</v>
      </c>
      <c r="L841" s="1412">
        <v>0</v>
      </c>
      <c r="M841" s="1575">
        <v>0</v>
      </c>
      <c r="N841" s="1575"/>
      <c r="O841" s="1575">
        <v>0</v>
      </c>
      <c r="P841" s="1575"/>
      <c r="Q841" s="1575">
        <v>267530016.94</v>
      </c>
      <c r="R841" s="1575"/>
      <c r="S841" s="1575"/>
      <c r="T841" s="1575"/>
      <c r="U841" s="1575"/>
    </row>
    <row r="842" spans="1:21" ht="10.9" customHeight="1">
      <c r="A842" s="1574" t="s">
        <v>345</v>
      </c>
      <c r="B842" s="1574"/>
      <c r="C842" s="1574" t="s">
        <v>2277</v>
      </c>
      <c r="D842" s="1574"/>
      <c r="E842" s="1574"/>
      <c r="F842" s="1574" t="s">
        <v>2278</v>
      </c>
      <c r="G842" s="1574"/>
      <c r="H842" s="1574"/>
      <c r="I842" s="1574"/>
      <c r="J842" s="1412">
        <v>0</v>
      </c>
      <c r="K842" s="1412">
        <v>855388979.28999996</v>
      </c>
      <c r="L842" s="1412">
        <v>0</v>
      </c>
      <c r="M842" s="1575">
        <v>0</v>
      </c>
      <c r="N842" s="1575"/>
      <c r="O842" s="1575">
        <v>0</v>
      </c>
      <c r="P842" s="1575"/>
      <c r="Q842" s="1575">
        <v>855388979.28999996</v>
      </c>
      <c r="R842" s="1575"/>
      <c r="S842" s="1575"/>
      <c r="T842" s="1575"/>
      <c r="U842" s="1575"/>
    </row>
    <row r="843" spans="1:21" ht="10.9" customHeight="1">
      <c r="A843" s="1574" t="s">
        <v>345</v>
      </c>
      <c r="B843" s="1574"/>
      <c r="C843" s="1574" t="s">
        <v>2997</v>
      </c>
      <c r="D843" s="1574"/>
      <c r="E843" s="1574"/>
      <c r="F843" s="1574" t="s">
        <v>2998</v>
      </c>
      <c r="G843" s="1574"/>
      <c r="H843" s="1574"/>
      <c r="I843" s="1574"/>
      <c r="J843" s="1412">
        <v>0</v>
      </c>
      <c r="K843" s="1412">
        <v>0</v>
      </c>
      <c r="L843" s="1412">
        <v>0</v>
      </c>
      <c r="M843" s="1575">
        <v>0</v>
      </c>
      <c r="N843" s="1575"/>
      <c r="O843" s="1575">
        <v>0</v>
      </c>
      <c r="P843" s="1575"/>
      <c r="Q843" s="1575">
        <v>0</v>
      </c>
      <c r="R843" s="1575"/>
      <c r="S843" s="1575"/>
      <c r="T843" s="1575"/>
      <c r="U843" s="1575"/>
    </row>
    <row r="844" spans="1:21" ht="10.9" customHeight="1">
      <c r="A844" s="1574" t="s">
        <v>345</v>
      </c>
      <c r="B844" s="1574"/>
      <c r="C844" s="1574" t="s">
        <v>5681</v>
      </c>
      <c r="D844" s="1574"/>
      <c r="E844" s="1574"/>
      <c r="F844" s="1574" t="s">
        <v>5682</v>
      </c>
      <c r="G844" s="1574"/>
      <c r="H844" s="1574"/>
      <c r="I844" s="1574"/>
      <c r="J844" s="1412">
        <v>0</v>
      </c>
      <c r="K844" s="1412">
        <v>0</v>
      </c>
      <c r="L844" s="1412">
        <v>0</v>
      </c>
      <c r="M844" s="1575">
        <v>0</v>
      </c>
      <c r="N844" s="1575"/>
      <c r="O844" s="1575">
        <v>0</v>
      </c>
      <c r="P844" s="1575"/>
      <c r="Q844" s="1575">
        <v>0</v>
      </c>
      <c r="R844" s="1575"/>
      <c r="S844" s="1575"/>
      <c r="T844" s="1575"/>
      <c r="U844" s="1575"/>
    </row>
    <row r="845" spans="1:21" ht="10.9" customHeight="1">
      <c r="A845" s="1574" t="s">
        <v>345</v>
      </c>
      <c r="B845" s="1574"/>
      <c r="C845" s="1574" t="s">
        <v>1610</v>
      </c>
      <c r="D845" s="1574"/>
      <c r="E845" s="1574"/>
      <c r="F845" s="1574" t="s">
        <v>1611</v>
      </c>
      <c r="G845" s="1574"/>
      <c r="H845" s="1574"/>
      <c r="I845" s="1574"/>
      <c r="J845" s="1412">
        <v>0</v>
      </c>
      <c r="K845" s="1412">
        <v>855388979.28999996</v>
      </c>
      <c r="L845" s="1412">
        <v>0</v>
      </c>
      <c r="M845" s="1575">
        <v>0</v>
      </c>
      <c r="N845" s="1575"/>
      <c r="O845" s="1575">
        <v>0</v>
      </c>
      <c r="P845" s="1575"/>
      <c r="Q845" s="1575">
        <v>855388979.28999996</v>
      </c>
      <c r="R845" s="1575"/>
      <c r="S845" s="1575"/>
      <c r="T845" s="1575"/>
      <c r="U845" s="1575"/>
    </row>
    <row r="846" spans="1:21" ht="10.9" customHeight="1">
      <c r="A846" s="1574" t="s">
        <v>345</v>
      </c>
      <c r="B846" s="1574"/>
      <c r="C846" s="1574" t="s">
        <v>1612</v>
      </c>
      <c r="D846" s="1574"/>
      <c r="E846" s="1574"/>
      <c r="F846" s="1574" t="s">
        <v>2279</v>
      </c>
      <c r="G846" s="1574"/>
      <c r="H846" s="1574"/>
      <c r="I846" s="1574"/>
      <c r="J846" s="1412">
        <v>0</v>
      </c>
      <c r="K846" s="1412">
        <v>23429164.940000001</v>
      </c>
      <c r="L846" s="1412">
        <v>0</v>
      </c>
      <c r="M846" s="1575">
        <v>0</v>
      </c>
      <c r="N846" s="1575"/>
      <c r="O846" s="1575">
        <v>0</v>
      </c>
      <c r="P846" s="1575"/>
      <c r="Q846" s="1575">
        <v>23429164.940000001</v>
      </c>
      <c r="R846" s="1575"/>
      <c r="S846" s="1575"/>
      <c r="T846" s="1575"/>
      <c r="U846" s="1575"/>
    </row>
    <row r="847" spans="1:21" ht="10.9" customHeight="1">
      <c r="A847" s="1574" t="s">
        <v>345</v>
      </c>
      <c r="B847" s="1574"/>
      <c r="C847" s="1574" t="s">
        <v>1613</v>
      </c>
      <c r="D847" s="1574"/>
      <c r="E847" s="1574"/>
      <c r="F847" s="1574" t="s">
        <v>2280</v>
      </c>
      <c r="G847" s="1574"/>
      <c r="H847" s="1574"/>
      <c r="I847" s="1574"/>
      <c r="J847" s="1412">
        <v>0</v>
      </c>
      <c r="K847" s="1412">
        <v>-11164328.34</v>
      </c>
      <c r="L847" s="1412">
        <v>0</v>
      </c>
      <c r="M847" s="1575">
        <v>0</v>
      </c>
      <c r="N847" s="1575"/>
      <c r="O847" s="1575">
        <v>0</v>
      </c>
      <c r="P847" s="1575"/>
      <c r="Q847" s="1575">
        <v>-11164328.34</v>
      </c>
      <c r="R847" s="1575"/>
      <c r="S847" s="1575"/>
      <c r="T847" s="1575"/>
      <c r="U847" s="1575"/>
    </row>
    <row r="848" spans="1:21" ht="10.9" customHeight="1">
      <c r="A848" s="1574" t="s">
        <v>345</v>
      </c>
      <c r="B848" s="1574"/>
      <c r="C848" s="1574" t="s">
        <v>1614</v>
      </c>
      <c r="D848" s="1574"/>
      <c r="E848" s="1574"/>
      <c r="F848" s="1574" t="s">
        <v>2281</v>
      </c>
      <c r="G848" s="1574"/>
      <c r="H848" s="1574"/>
      <c r="I848" s="1574"/>
      <c r="J848" s="1412">
        <v>0</v>
      </c>
      <c r="K848" s="1412">
        <v>-22926524.739999998</v>
      </c>
      <c r="L848" s="1412">
        <v>0</v>
      </c>
      <c r="M848" s="1575">
        <v>0</v>
      </c>
      <c r="N848" s="1575"/>
      <c r="O848" s="1575">
        <v>0</v>
      </c>
      <c r="P848" s="1575"/>
      <c r="Q848" s="1575">
        <v>-22926524.739999998</v>
      </c>
      <c r="R848" s="1575"/>
      <c r="S848" s="1575"/>
      <c r="T848" s="1575"/>
      <c r="U848" s="1575"/>
    </row>
    <row r="849" spans="1:23" ht="10.9" customHeight="1">
      <c r="A849" s="1574" t="s">
        <v>345</v>
      </c>
      <c r="B849" s="1574"/>
      <c r="C849" s="1574" t="s">
        <v>1615</v>
      </c>
      <c r="D849" s="1574"/>
      <c r="E849" s="1574"/>
      <c r="F849" s="1574" t="s">
        <v>2282</v>
      </c>
      <c r="G849" s="1574"/>
      <c r="H849" s="1574"/>
      <c r="I849" s="1574"/>
      <c r="J849" s="1412">
        <v>0</v>
      </c>
      <c r="K849" s="1412">
        <v>-9373112.2899999991</v>
      </c>
      <c r="L849" s="1412">
        <v>0</v>
      </c>
      <c r="M849" s="1575">
        <v>0</v>
      </c>
      <c r="N849" s="1575"/>
      <c r="O849" s="1575">
        <v>0</v>
      </c>
      <c r="P849" s="1575"/>
      <c r="Q849" s="1575">
        <v>-9373112.2899999991</v>
      </c>
      <c r="R849" s="1575"/>
      <c r="S849" s="1575"/>
      <c r="T849" s="1575"/>
      <c r="U849" s="1575"/>
    </row>
    <row r="850" spans="1:23" ht="10.9" customHeight="1">
      <c r="A850" s="1574" t="s">
        <v>345</v>
      </c>
      <c r="B850" s="1574"/>
      <c r="C850" s="1574" t="s">
        <v>1616</v>
      </c>
      <c r="D850" s="1574"/>
      <c r="E850" s="1574"/>
      <c r="F850" s="1574" t="s">
        <v>2283</v>
      </c>
      <c r="G850" s="1574"/>
      <c r="H850" s="1574"/>
      <c r="I850" s="1574"/>
      <c r="J850" s="1412">
        <v>0</v>
      </c>
      <c r="K850" s="1412">
        <v>-16789867.780000001</v>
      </c>
      <c r="L850" s="1412">
        <v>0</v>
      </c>
      <c r="M850" s="1575">
        <v>0</v>
      </c>
      <c r="N850" s="1575"/>
      <c r="O850" s="1575">
        <v>0</v>
      </c>
      <c r="P850" s="1575"/>
      <c r="Q850" s="1575">
        <v>-16789867.780000001</v>
      </c>
      <c r="R850" s="1575"/>
      <c r="S850" s="1575"/>
      <c r="T850" s="1575"/>
      <c r="U850" s="1575"/>
    </row>
    <row r="851" spans="1:23" ht="10.9" customHeight="1">
      <c r="A851" s="1574" t="s">
        <v>345</v>
      </c>
      <c r="B851" s="1574"/>
      <c r="C851" s="1574" t="s">
        <v>1617</v>
      </c>
      <c r="D851" s="1574"/>
      <c r="E851" s="1574"/>
      <c r="F851" s="1574" t="s">
        <v>2284</v>
      </c>
      <c r="G851" s="1574"/>
      <c r="H851" s="1574"/>
      <c r="I851" s="1574"/>
      <c r="J851" s="1412">
        <v>0</v>
      </c>
      <c r="K851" s="1412">
        <v>-18508332.640000001</v>
      </c>
      <c r="L851" s="1412">
        <v>0</v>
      </c>
      <c r="M851" s="1575">
        <v>0</v>
      </c>
      <c r="N851" s="1575"/>
      <c r="O851" s="1575">
        <v>0</v>
      </c>
      <c r="P851" s="1575"/>
      <c r="Q851" s="1575">
        <v>-18508332.640000001</v>
      </c>
      <c r="R851" s="1575"/>
      <c r="S851" s="1575"/>
      <c r="T851" s="1575"/>
      <c r="U851" s="1575"/>
    </row>
    <row r="852" spans="1:23" ht="10.9" customHeight="1">
      <c r="A852" s="1574" t="s">
        <v>345</v>
      </c>
      <c r="B852" s="1574"/>
      <c r="C852" s="1574" t="s">
        <v>1618</v>
      </c>
      <c r="D852" s="1574"/>
      <c r="E852" s="1574"/>
      <c r="F852" s="1574" t="s">
        <v>2285</v>
      </c>
      <c r="G852" s="1574"/>
      <c r="H852" s="1574"/>
      <c r="I852" s="1574"/>
      <c r="J852" s="1412">
        <v>0</v>
      </c>
      <c r="K852" s="1412">
        <v>11185592.65</v>
      </c>
      <c r="L852" s="1412">
        <v>0</v>
      </c>
      <c r="M852" s="1575">
        <v>0</v>
      </c>
      <c r="N852" s="1575"/>
      <c r="O852" s="1575">
        <v>0</v>
      </c>
      <c r="P852" s="1575"/>
      <c r="Q852" s="1575">
        <v>11185592.65</v>
      </c>
      <c r="R852" s="1575"/>
      <c r="S852" s="1575"/>
      <c r="T852" s="1575"/>
      <c r="U852" s="1575"/>
    </row>
    <row r="853" spans="1:23" ht="10.9" customHeight="1">
      <c r="A853" s="1574" t="s">
        <v>345</v>
      </c>
      <c r="B853" s="1574"/>
      <c r="C853" s="1574" t="s">
        <v>1619</v>
      </c>
      <c r="D853" s="1574"/>
      <c r="E853" s="1574"/>
      <c r="F853" s="1574" t="s">
        <v>2286</v>
      </c>
      <c r="G853" s="1574"/>
      <c r="H853" s="1574"/>
      <c r="I853" s="1574"/>
      <c r="J853" s="1412">
        <v>0</v>
      </c>
      <c r="K853" s="1412">
        <v>164921601.78</v>
      </c>
      <c r="L853" s="1412">
        <v>0</v>
      </c>
      <c r="M853" s="1575">
        <v>0</v>
      </c>
      <c r="N853" s="1575"/>
      <c r="O853" s="1575">
        <v>0</v>
      </c>
      <c r="P853" s="1575"/>
      <c r="Q853" s="1575">
        <v>164921601.78</v>
      </c>
      <c r="R853" s="1575"/>
      <c r="S853" s="1575"/>
      <c r="T853" s="1575"/>
      <c r="U853" s="1575"/>
    </row>
    <row r="854" spans="1:23" ht="10.9" customHeight="1">
      <c r="A854" s="1574" t="s">
        <v>345</v>
      </c>
      <c r="B854" s="1574"/>
      <c r="C854" s="1574" t="s">
        <v>1620</v>
      </c>
      <c r="D854" s="1574"/>
      <c r="E854" s="1574"/>
      <c r="F854" s="1574" t="s">
        <v>2287</v>
      </c>
      <c r="G854" s="1574"/>
      <c r="H854" s="1574"/>
      <c r="I854" s="1574"/>
      <c r="J854" s="1412">
        <v>0</v>
      </c>
      <c r="K854" s="1412">
        <v>121843922.45999999</v>
      </c>
      <c r="L854" s="1412">
        <v>0</v>
      </c>
      <c r="M854" s="1575">
        <v>0</v>
      </c>
      <c r="N854" s="1575"/>
      <c r="O854" s="1575">
        <v>0</v>
      </c>
      <c r="P854" s="1575"/>
      <c r="Q854" s="1575">
        <v>121843922.45999999</v>
      </c>
      <c r="R854" s="1575"/>
      <c r="S854" s="1575"/>
      <c r="T854" s="1575"/>
      <c r="U854" s="1575"/>
    </row>
    <row r="855" spans="1:23" ht="10.9" customHeight="1">
      <c r="A855" s="1574" t="s">
        <v>345</v>
      </c>
      <c r="B855" s="1574"/>
      <c r="C855" s="1574" t="s">
        <v>1621</v>
      </c>
      <c r="D855" s="1574"/>
      <c r="E855" s="1574"/>
      <c r="F855" s="1574" t="s">
        <v>2288</v>
      </c>
      <c r="G855" s="1574"/>
      <c r="H855" s="1574"/>
      <c r="I855" s="1574"/>
      <c r="J855" s="1412">
        <v>0</v>
      </c>
      <c r="K855" s="1412">
        <v>127021024.27</v>
      </c>
      <c r="L855" s="1412">
        <v>0</v>
      </c>
      <c r="M855" s="1575">
        <v>0</v>
      </c>
      <c r="N855" s="1575"/>
      <c r="O855" s="1575">
        <v>0</v>
      </c>
      <c r="P855" s="1575"/>
      <c r="Q855" s="1575">
        <v>127021024.27</v>
      </c>
      <c r="R855" s="1575"/>
      <c r="S855" s="1575"/>
      <c r="T855" s="1575"/>
      <c r="U855" s="1575"/>
    </row>
    <row r="856" spans="1:23" ht="10.9" customHeight="1">
      <c r="A856" s="1574" t="s">
        <v>345</v>
      </c>
      <c r="B856" s="1574"/>
      <c r="C856" s="1574" t="s">
        <v>1622</v>
      </c>
      <c r="D856" s="1574"/>
      <c r="E856" s="1574"/>
      <c r="F856" s="1574" t="s">
        <v>2289</v>
      </c>
      <c r="G856" s="1574"/>
      <c r="H856" s="1574"/>
      <c r="I856" s="1574"/>
      <c r="J856" s="1412">
        <v>0</v>
      </c>
      <c r="K856" s="1412">
        <v>13085651.68</v>
      </c>
      <c r="L856" s="1412">
        <v>0</v>
      </c>
      <c r="M856" s="1575">
        <v>0</v>
      </c>
      <c r="N856" s="1575"/>
      <c r="O856" s="1575">
        <v>0</v>
      </c>
      <c r="P856" s="1575"/>
      <c r="Q856" s="1575">
        <v>13085651.68</v>
      </c>
      <c r="R856" s="1575"/>
      <c r="S856" s="1575"/>
      <c r="T856" s="1575"/>
      <c r="U856" s="1575"/>
    </row>
    <row r="857" spans="1:23" ht="10.9" customHeight="1">
      <c r="A857" s="1574" t="s">
        <v>345</v>
      </c>
      <c r="B857" s="1574"/>
      <c r="C857" s="1574" t="s">
        <v>1623</v>
      </c>
      <c r="D857" s="1574"/>
      <c r="E857" s="1574"/>
      <c r="F857" s="1574" t="s">
        <v>2290</v>
      </c>
      <c r="G857" s="1574"/>
      <c r="H857" s="1574"/>
      <c r="I857" s="1574"/>
      <c r="J857" s="1412">
        <v>0</v>
      </c>
      <c r="K857" s="1412">
        <v>24947542.829999998</v>
      </c>
      <c r="L857" s="1412">
        <v>0</v>
      </c>
      <c r="M857" s="1575">
        <v>0</v>
      </c>
      <c r="N857" s="1575"/>
      <c r="O857" s="1575">
        <v>0</v>
      </c>
      <c r="P857" s="1575"/>
      <c r="Q857" s="1575">
        <v>24947542.829999998</v>
      </c>
      <c r="R857" s="1575"/>
      <c r="S857" s="1575"/>
      <c r="T857" s="1575"/>
      <c r="U857" s="1575"/>
    </row>
    <row r="858" spans="1:23" ht="10.9" customHeight="1">
      <c r="A858" s="1574" t="s">
        <v>345</v>
      </c>
      <c r="B858" s="1574"/>
      <c r="C858" s="1574" t="s">
        <v>1624</v>
      </c>
      <c r="D858" s="1574"/>
      <c r="E858" s="1574"/>
      <c r="F858" s="1574" t="s">
        <v>2291</v>
      </c>
      <c r="G858" s="1574"/>
      <c r="H858" s="1574"/>
      <c r="I858" s="1574"/>
      <c r="J858" s="1412">
        <v>0</v>
      </c>
      <c r="K858" s="1412">
        <v>12543692.17</v>
      </c>
      <c r="L858" s="1412">
        <v>0</v>
      </c>
      <c r="M858" s="1575">
        <v>0</v>
      </c>
      <c r="N858" s="1575"/>
      <c r="O858" s="1575">
        <v>0</v>
      </c>
      <c r="P858" s="1575"/>
      <c r="Q858" s="1575">
        <v>12543692.17</v>
      </c>
      <c r="R858" s="1575"/>
      <c r="S858" s="1575"/>
      <c r="T858" s="1575"/>
      <c r="U858" s="1575"/>
    </row>
    <row r="859" spans="1:23" ht="10.9" customHeight="1">
      <c r="A859" s="1574" t="s">
        <v>345</v>
      </c>
      <c r="B859" s="1574"/>
      <c r="C859" s="1574" t="s">
        <v>1625</v>
      </c>
      <c r="D859" s="1574"/>
      <c r="E859" s="1574"/>
      <c r="F859" s="1574" t="s">
        <v>2292</v>
      </c>
      <c r="G859" s="1574"/>
      <c r="H859" s="1574"/>
      <c r="I859" s="1574"/>
      <c r="J859" s="1412">
        <v>0</v>
      </c>
      <c r="K859" s="1412">
        <v>8379864.0899999999</v>
      </c>
      <c r="L859" s="1412">
        <v>0</v>
      </c>
      <c r="M859" s="1575">
        <v>0</v>
      </c>
      <c r="N859" s="1575"/>
      <c r="O859" s="1575">
        <v>0</v>
      </c>
      <c r="P859" s="1575"/>
      <c r="Q859" s="1575">
        <v>8379864.0899999999</v>
      </c>
      <c r="R859" s="1575"/>
      <c r="S859" s="1575"/>
      <c r="T859" s="1575"/>
      <c r="U859" s="1575"/>
    </row>
    <row r="860" spans="1:23" ht="10.9" customHeight="1">
      <c r="A860" s="1574" t="s">
        <v>345</v>
      </c>
      <c r="B860" s="1574"/>
      <c r="C860" s="1574" t="s">
        <v>1626</v>
      </c>
      <c r="D860" s="1574"/>
      <c r="E860" s="1574"/>
      <c r="F860" s="1574" t="s">
        <v>2293</v>
      </c>
      <c r="G860" s="1574"/>
      <c r="H860" s="1574"/>
      <c r="I860" s="1574"/>
      <c r="J860" s="1412">
        <v>0</v>
      </c>
      <c r="K860" s="1412">
        <v>12826771.66</v>
      </c>
      <c r="L860" s="1412">
        <v>0</v>
      </c>
      <c r="M860" s="1575">
        <v>0</v>
      </c>
      <c r="N860" s="1575"/>
      <c r="O860" s="1575">
        <v>0</v>
      </c>
      <c r="P860" s="1575"/>
      <c r="Q860" s="1575">
        <v>12826771.66</v>
      </c>
      <c r="R860" s="1575"/>
      <c r="S860" s="1575"/>
      <c r="T860" s="1575"/>
      <c r="U860" s="1575"/>
    </row>
    <row r="861" spans="1:23" ht="10.9" customHeight="1">
      <c r="A861" s="1574" t="s">
        <v>345</v>
      </c>
      <c r="B861" s="1574"/>
      <c r="C861" s="1574" t="s">
        <v>1627</v>
      </c>
      <c r="D861" s="1574"/>
      <c r="E861" s="1574"/>
      <c r="F861" s="1574" t="s">
        <v>2294</v>
      </c>
      <c r="G861" s="1574"/>
      <c r="H861" s="1574"/>
      <c r="I861" s="1574"/>
      <c r="J861" s="1412">
        <v>0</v>
      </c>
      <c r="K861" s="1412">
        <v>-23084042.809999999</v>
      </c>
      <c r="L861" s="1412">
        <v>0</v>
      </c>
      <c r="M861" s="1575">
        <v>0</v>
      </c>
      <c r="N861" s="1575"/>
      <c r="O861" s="1575">
        <v>0</v>
      </c>
      <c r="P861" s="1575"/>
      <c r="Q861" s="1575">
        <v>-23084042.809999999</v>
      </c>
      <c r="R861" s="1575"/>
      <c r="S861" s="1575"/>
      <c r="T861" s="1575"/>
      <c r="U861" s="1575"/>
    </row>
    <row r="862" spans="1:23" ht="10.9" customHeight="1">
      <c r="A862" s="1574" t="s">
        <v>345</v>
      </c>
      <c r="B862" s="1574"/>
      <c r="C862" s="1574" t="s">
        <v>1628</v>
      </c>
      <c r="D862" s="1574"/>
      <c r="E862" s="1574"/>
      <c r="F862" s="1574" t="s">
        <v>2295</v>
      </c>
      <c r="G862" s="1574"/>
      <c r="H862" s="1574"/>
      <c r="I862" s="1574"/>
      <c r="J862" s="1412">
        <v>0</v>
      </c>
      <c r="K862" s="1412">
        <v>39288292.170000002</v>
      </c>
      <c r="L862" s="1412">
        <v>0</v>
      </c>
      <c r="M862" s="1575">
        <v>0</v>
      </c>
      <c r="N862" s="1575"/>
      <c r="O862" s="1575">
        <v>0</v>
      </c>
      <c r="P862" s="1575"/>
      <c r="Q862" s="1575">
        <v>39288292.170000002</v>
      </c>
      <c r="R862" s="1575"/>
      <c r="S862" s="1575"/>
      <c r="T862" s="1575"/>
      <c r="U862" s="1575"/>
    </row>
    <row r="863" spans="1:23" ht="17.25" customHeight="1">
      <c r="S863" s="1573" t="s">
        <v>2439</v>
      </c>
      <c r="T863" s="1573"/>
      <c r="U863" s="1573"/>
      <c r="V863" s="1573"/>
      <c r="W863" s="1573"/>
    </row>
    <row r="864" spans="1:23" ht="7.15" customHeight="1">
      <c r="C864" s="1586" t="s">
        <v>2987</v>
      </c>
      <c r="D864" s="1586"/>
      <c r="E864" s="1586"/>
      <c r="F864" s="1586"/>
      <c r="G864" s="1586"/>
      <c r="H864" s="1586"/>
      <c r="I864" s="1586"/>
      <c r="J864" s="1586"/>
      <c r="K864" s="1586"/>
      <c r="L864" s="1586"/>
      <c r="M864" s="1586"/>
      <c r="N864" s="1586"/>
      <c r="O864" s="1586"/>
      <c r="P864" s="1586"/>
      <c r="Q864" s="1586"/>
      <c r="R864" s="1586"/>
      <c r="S864" s="1586"/>
      <c r="T864" s="1586"/>
    </row>
    <row r="865" spans="1:23" ht="9.6" customHeight="1">
      <c r="A865" s="1587"/>
      <c r="B865" s="1587"/>
      <c r="C865" s="1587"/>
      <c r="D865" s="1587"/>
      <c r="E865" s="1587"/>
      <c r="F865" s="1587"/>
      <c r="G865" s="1586"/>
      <c r="H865" s="1586"/>
      <c r="I865" s="1586"/>
      <c r="J865" s="1586"/>
      <c r="K865" s="1586"/>
      <c r="L865" s="1586"/>
      <c r="M865" s="1586"/>
      <c r="N865" s="1586"/>
      <c r="O865" s="1586"/>
      <c r="P865" s="1586"/>
      <c r="Q865" s="1586"/>
      <c r="R865" s="1586"/>
      <c r="S865" s="1586"/>
      <c r="T865" s="1586"/>
    </row>
    <row r="866" spans="1:23" ht="13.35" customHeight="1">
      <c r="A866" s="1587"/>
      <c r="B866" s="1587"/>
      <c r="C866" s="1587"/>
      <c r="D866" s="1587"/>
      <c r="E866" s="1587"/>
      <c r="F866" s="1587"/>
      <c r="G866" s="1588" t="s">
        <v>79</v>
      </c>
      <c r="H866" s="1588"/>
      <c r="I866" s="1588"/>
      <c r="J866" s="1588"/>
      <c r="K866" s="1588"/>
      <c r="L866" s="1588"/>
      <c r="M866" s="1588"/>
      <c r="N866" s="1588"/>
      <c r="O866" s="1588"/>
      <c r="P866" s="1588"/>
      <c r="Q866" s="1588"/>
      <c r="R866" s="1588"/>
    </row>
    <row r="867" spans="1:23" ht="5.25" customHeight="1">
      <c r="A867" s="1587"/>
      <c r="B867" s="1587"/>
      <c r="C867" s="1587"/>
      <c r="D867" s="1587"/>
      <c r="E867" s="1587"/>
      <c r="F867" s="1587"/>
      <c r="G867" s="1581" t="s">
        <v>7015</v>
      </c>
      <c r="H867" s="1581"/>
      <c r="I867" s="1581"/>
      <c r="J867" s="1581"/>
      <c r="K867" s="1581"/>
      <c r="L867" s="1581"/>
      <c r="M867" s="1581"/>
      <c r="N867" s="1581"/>
      <c r="O867" s="1581"/>
      <c r="P867" s="1581"/>
      <c r="Q867" s="1581"/>
    </row>
    <row r="868" spans="1:23" ht="8.1" customHeight="1">
      <c r="B868" s="1580" t="s">
        <v>1916</v>
      </c>
      <c r="C868" s="1580"/>
      <c r="D868" s="1580"/>
      <c r="E868" s="1580"/>
      <c r="F868" s="1580"/>
      <c r="G868" s="1580"/>
      <c r="H868" s="1581"/>
      <c r="I868" s="1581"/>
      <c r="J868" s="1581"/>
      <c r="K868" s="1581"/>
      <c r="L868" s="1581"/>
      <c r="M868" s="1581"/>
      <c r="N868" s="1582" t="s">
        <v>5619</v>
      </c>
      <c r="O868" s="1582"/>
      <c r="P868" s="1582"/>
      <c r="Q868" s="1582"/>
      <c r="R868" s="1582"/>
      <c r="S868" s="1582"/>
      <c r="T868" s="1583" t="s">
        <v>7016</v>
      </c>
      <c r="U868" s="1583"/>
      <c r="V868" s="1583"/>
      <c r="W868" s="1583"/>
    </row>
    <row r="869" spans="1:23" ht="6" customHeight="1">
      <c r="B869" s="1580"/>
      <c r="C869" s="1580"/>
      <c r="D869" s="1580"/>
      <c r="E869" s="1580"/>
      <c r="F869" s="1580"/>
      <c r="G869" s="1580"/>
      <c r="H869" s="1584" t="s">
        <v>7017</v>
      </c>
      <c r="I869" s="1584"/>
      <c r="J869" s="1584"/>
      <c r="K869" s="1584"/>
      <c r="L869" s="1584"/>
      <c r="M869" s="1584"/>
      <c r="N869" s="1582"/>
      <c r="O869" s="1582"/>
      <c r="P869" s="1582"/>
      <c r="Q869" s="1582"/>
      <c r="R869" s="1582"/>
      <c r="S869" s="1582"/>
      <c r="T869" s="1583"/>
      <c r="U869" s="1583"/>
      <c r="V869" s="1583"/>
      <c r="W869" s="1583"/>
    </row>
    <row r="870" spans="1:23" ht="7.35" customHeight="1">
      <c r="B870" s="1580" t="s">
        <v>1994</v>
      </c>
      <c r="C870" s="1580"/>
      <c r="D870" s="1580"/>
      <c r="E870" s="1585"/>
      <c r="F870" s="1585"/>
      <c r="G870" s="1585"/>
      <c r="H870" s="1585"/>
      <c r="I870" s="1585"/>
      <c r="J870" s="1585"/>
      <c r="K870" s="1585"/>
      <c r="L870" s="1585"/>
      <c r="M870" s="1585"/>
      <c r="N870" s="1585"/>
      <c r="O870" s="1585"/>
      <c r="P870" s="1585"/>
      <c r="Q870" s="1585"/>
      <c r="R870" s="1582"/>
      <c r="S870" s="1582"/>
      <c r="T870" s="1582" t="s">
        <v>7018</v>
      </c>
      <c r="U870" s="1582"/>
    </row>
    <row r="871" spans="1:23" ht="6.75" customHeight="1">
      <c r="E871" s="1585"/>
      <c r="F871" s="1585"/>
      <c r="G871" s="1585"/>
      <c r="H871" s="1585"/>
      <c r="I871" s="1585"/>
      <c r="J871" s="1585"/>
      <c r="K871" s="1585"/>
      <c r="L871" s="1585"/>
      <c r="M871" s="1585"/>
      <c r="N871" s="1585"/>
      <c r="O871" s="1585"/>
      <c r="P871" s="1585"/>
      <c r="Q871" s="1585"/>
      <c r="R871" s="1582"/>
      <c r="S871" s="1582"/>
      <c r="T871" s="1582"/>
      <c r="U871" s="1582"/>
    </row>
    <row r="872" spans="1:23" ht="10.9" customHeight="1">
      <c r="A872" s="1576"/>
      <c r="B872" s="1576"/>
      <c r="C872" s="1576"/>
      <c r="D872" s="1576"/>
      <c r="E872" s="1576"/>
      <c r="F872" s="1576"/>
      <c r="G872" s="1576"/>
      <c r="H872" s="1576"/>
      <c r="I872" s="1576"/>
      <c r="J872" s="1577" t="s">
        <v>1314</v>
      </c>
      <c r="K872" s="1577"/>
      <c r="L872" s="1577" t="s">
        <v>1315</v>
      </c>
      <c r="M872" s="1577"/>
      <c r="N872" s="1577"/>
      <c r="O872" s="1577" t="s">
        <v>1316</v>
      </c>
      <c r="P872" s="1577"/>
      <c r="Q872" s="1577"/>
      <c r="R872" s="1577"/>
      <c r="S872" s="1577"/>
      <c r="T872" s="1577"/>
      <c r="U872" s="1577"/>
    </row>
    <row r="873" spans="1:23" ht="14.1" customHeight="1">
      <c r="A873" s="1578" t="s">
        <v>1317</v>
      </c>
      <c r="B873" s="1578"/>
      <c r="C873" s="1578" t="s">
        <v>1318</v>
      </c>
      <c r="D873" s="1578"/>
      <c r="E873" s="1578"/>
      <c r="F873" s="1578" t="s">
        <v>1319</v>
      </c>
      <c r="G873" s="1578"/>
      <c r="H873" s="1578"/>
      <c r="I873" s="1578"/>
      <c r="J873" s="1413" t="s">
        <v>1320</v>
      </c>
      <c r="K873" s="1413" t="s">
        <v>1321</v>
      </c>
      <c r="L873" s="1413" t="s">
        <v>1320</v>
      </c>
      <c r="M873" s="1579" t="s">
        <v>1321</v>
      </c>
      <c r="N873" s="1579"/>
      <c r="O873" s="1579" t="s">
        <v>1320</v>
      </c>
      <c r="P873" s="1579"/>
      <c r="Q873" s="1579" t="s">
        <v>1321</v>
      </c>
      <c r="R873" s="1579"/>
      <c r="S873" s="1579"/>
      <c r="T873" s="1579"/>
      <c r="U873" s="1579"/>
    </row>
    <row r="874" spans="1:23" ht="14.1" customHeight="1">
      <c r="A874" s="1574" t="s">
        <v>345</v>
      </c>
      <c r="B874" s="1574"/>
      <c r="C874" s="1574" t="s">
        <v>1629</v>
      </c>
      <c r="D874" s="1574"/>
      <c r="E874" s="1574"/>
      <c r="F874" s="1574" t="s">
        <v>2296</v>
      </c>
      <c r="G874" s="1574"/>
      <c r="H874" s="1574"/>
      <c r="I874" s="1574"/>
      <c r="J874" s="1412">
        <v>0</v>
      </c>
      <c r="K874" s="1412">
        <v>-2198899.2999999998</v>
      </c>
      <c r="L874" s="1412">
        <v>0</v>
      </c>
      <c r="M874" s="1575">
        <v>0</v>
      </c>
      <c r="N874" s="1575"/>
      <c r="O874" s="1575">
        <v>0</v>
      </c>
      <c r="P874" s="1575"/>
      <c r="Q874" s="1575">
        <v>-2198899.2999999998</v>
      </c>
      <c r="R874" s="1575"/>
      <c r="S874" s="1575"/>
      <c r="T874" s="1575"/>
      <c r="U874" s="1575"/>
    </row>
    <row r="875" spans="1:23" ht="10.9" customHeight="1">
      <c r="A875" s="1574" t="s">
        <v>345</v>
      </c>
      <c r="B875" s="1574"/>
      <c r="C875" s="1574" t="s">
        <v>1630</v>
      </c>
      <c r="D875" s="1574"/>
      <c r="E875" s="1574"/>
      <c r="F875" s="1574" t="s">
        <v>2297</v>
      </c>
      <c r="G875" s="1574"/>
      <c r="H875" s="1574"/>
      <c r="I875" s="1574"/>
      <c r="J875" s="1412">
        <v>0</v>
      </c>
      <c r="K875" s="1412">
        <v>113239621.77</v>
      </c>
      <c r="L875" s="1412">
        <v>0</v>
      </c>
      <c r="M875" s="1575">
        <v>0</v>
      </c>
      <c r="N875" s="1575"/>
      <c r="O875" s="1575">
        <v>0</v>
      </c>
      <c r="P875" s="1575"/>
      <c r="Q875" s="1575">
        <v>113239621.77</v>
      </c>
      <c r="R875" s="1575"/>
      <c r="S875" s="1575"/>
      <c r="T875" s="1575"/>
      <c r="U875" s="1575"/>
    </row>
    <row r="876" spans="1:23" ht="10.9" customHeight="1">
      <c r="A876" s="1574" t="s">
        <v>345</v>
      </c>
      <c r="B876" s="1574"/>
      <c r="C876" s="1574" t="s">
        <v>2298</v>
      </c>
      <c r="D876" s="1574"/>
      <c r="E876" s="1574"/>
      <c r="F876" s="1574" t="s">
        <v>2299</v>
      </c>
      <c r="G876" s="1574"/>
      <c r="H876" s="1574"/>
      <c r="I876" s="1574"/>
      <c r="J876" s="1412">
        <v>0</v>
      </c>
      <c r="K876" s="1412">
        <v>33446477.149999999</v>
      </c>
      <c r="L876" s="1412">
        <v>0</v>
      </c>
      <c r="M876" s="1575">
        <v>0</v>
      </c>
      <c r="N876" s="1575"/>
      <c r="O876" s="1575">
        <v>0</v>
      </c>
      <c r="P876" s="1575"/>
      <c r="Q876" s="1575">
        <v>33446477.149999999</v>
      </c>
      <c r="R876" s="1575"/>
      <c r="S876" s="1575"/>
      <c r="T876" s="1575"/>
      <c r="U876" s="1575"/>
    </row>
    <row r="877" spans="1:23" ht="10.9" customHeight="1">
      <c r="A877" s="1574" t="s">
        <v>345</v>
      </c>
      <c r="B877" s="1574"/>
      <c r="C877" s="1574" t="s">
        <v>2300</v>
      </c>
      <c r="D877" s="1574"/>
      <c r="E877" s="1574"/>
      <c r="F877" s="1574" t="s">
        <v>2301</v>
      </c>
      <c r="G877" s="1574"/>
      <c r="H877" s="1574"/>
      <c r="I877" s="1574"/>
      <c r="J877" s="1412">
        <v>0</v>
      </c>
      <c r="K877" s="1412">
        <v>52219344.719999999</v>
      </c>
      <c r="L877" s="1412">
        <v>0</v>
      </c>
      <c r="M877" s="1575">
        <v>0</v>
      </c>
      <c r="N877" s="1575"/>
      <c r="O877" s="1575">
        <v>0</v>
      </c>
      <c r="P877" s="1575"/>
      <c r="Q877" s="1575">
        <v>52219344.719999999</v>
      </c>
      <c r="R877" s="1575"/>
      <c r="S877" s="1575"/>
      <c r="T877" s="1575"/>
      <c r="U877" s="1575"/>
    </row>
    <row r="878" spans="1:23" ht="10.9" customHeight="1">
      <c r="A878" s="1574" t="s">
        <v>345</v>
      </c>
      <c r="B878" s="1574"/>
      <c r="C878" s="1574" t="s">
        <v>3111</v>
      </c>
      <c r="D878" s="1574"/>
      <c r="E878" s="1574"/>
      <c r="F878" s="1574" t="s">
        <v>3112</v>
      </c>
      <c r="G878" s="1574"/>
      <c r="H878" s="1574"/>
      <c r="I878" s="1574"/>
      <c r="J878" s="1412">
        <v>0</v>
      </c>
      <c r="K878" s="1412">
        <v>50489757.659999996</v>
      </c>
      <c r="L878" s="1412">
        <v>0</v>
      </c>
      <c r="M878" s="1575">
        <v>0</v>
      </c>
      <c r="N878" s="1575"/>
      <c r="O878" s="1575">
        <v>0</v>
      </c>
      <c r="P878" s="1575"/>
      <c r="Q878" s="1575">
        <v>50489757.659999996</v>
      </c>
      <c r="R878" s="1575"/>
      <c r="S878" s="1575"/>
      <c r="T878" s="1575"/>
      <c r="U878" s="1575"/>
    </row>
    <row r="879" spans="1:23" ht="10.9" customHeight="1">
      <c r="A879" s="1574" t="s">
        <v>345</v>
      </c>
      <c r="B879" s="1574"/>
      <c r="C879" s="1574" t="s">
        <v>3271</v>
      </c>
      <c r="D879" s="1574"/>
      <c r="E879" s="1574"/>
      <c r="F879" s="1574" t="s">
        <v>3272</v>
      </c>
      <c r="G879" s="1574"/>
      <c r="H879" s="1574"/>
      <c r="I879" s="1574"/>
      <c r="J879" s="1412">
        <v>0</v>
      </c>
      <c r="K879" s="1412">
        <v>67858362.349999994</v>
      </c>
      <c r="L879" s="1412">
        <v>0</v>
      </c>
      <c r="M879" s="1575">
        <v>0</v>
      </c>
      <c r="N879" s="1575"/>
      <c r="O879" s="1575">
        <v>0</v>
      </c>
      <c r="P879" s="1575"/>
      <c r="Q879" s="1575">
        <v>67858362.349999994</v>
      </c>
      <c r="R879" s="1575"/>
      <c r="S879" s="1575"/>
      <c r="T879" s="1575"/>
      <c r="U879" s="1575"/>
    </row>
    <row r="880" spans="1:23" ht="10.9" customHeight="1">
      <c r="A880" s="1574" t="s">
        <v>345</v>
      </c>
      <c r="B880" s="1574"/>
      <c r="C880" s="1574" t="s">
        <v>5683</v>
      </c>
      <c r="D880" s="1574"/>
      <c r="E880" s="1574"/>
      <c r="F880" s="1574" t="s">
        <v>5684</v>
      </c>
      <c r="G880" s="1574"/>
      <c r="H880" s="1574"/>
      <c r="I880" s="1574"/>
      <c r="J880" s="1412">
        <v>0</v>
      </c>
      <c r="K880" s="1412">
        <v>82707402.840000004</v>
      </c>
      <c r="L880" s="1412">
        <v>0</v>
      </c>
      <c r="M880" s="1575">
        <v>0</v>
      </c>
      <c r="N880" s="1575"/>
      <c r="O880" s="1575">
        <v>0</v>
      </c>
      <c r="P880" s="1575"/>
      <c r="Q880" s="1575">
        <v>82707402.840000004</v>
      </c>
      <c r="R880" s="1575"/>
      <c r="S880" s="1575"/>
      <c r="T880" s="1575"/>
      <c r="U880" s="1575"/>
    </row>
    <row r="881" spans="1:21" ht="10.9" customHeight="1">
      <c r="A881" s="1574" t="s">
        <v>345</v>
      </c>
      <c r="B881" s="1574"/>
      <c r="C881" s="1574" t="s">
        <v>5685</v>
      </c>
      <c r="D881" s="1574"/>
      <c r="E881" s="1574"/>
      <c r="F881" s="1574" t="s">
        <v>5686</v>
      </c>
      <c r="G881" s="1574"/>
      <c r="H881" s="1574"/>
      <c r="I881" s="1574"/>
      <c r="J881" s="1412">
        <v>0</v>
      </c>
      <c r="K881" s="1412">
        <v>0</v>
      </c>
      <c r="L881" s="1412">
        <v>0</v>
      </c>
      <c r="M881" s="1575">
        <v>0</v>
      </c>
      <c r="N881" s="1575"/>
      <c r="O881" s="1575">
        <v>0</v>
      </c>
      <c r="P881" s="1575"/>
      <c r="Q881" s="1575">
        <v>0</v>
      </c>
      <c r="R881" s="1575"/>
      <c r="S881" s="1575"/>
      <c r="T881" s="1575"/>
      <c r="U881" s="1575"/>
    </row>
    <row r="882" spans="1:21" ht="19.149999999999999" customHeight="1">
      <c r="A882" s="1574" t="s">
        <v>345</v>
      </c>
      <c r="B882" s="1574"/>
      <c r="C882" s="1574" t="s">
        <v>2302</v>
      </c>
      <c r="D882" s="1574"/>
      <c r="E882" s="1574"/>
      <c r="F882" s="1574" t="s">
        <v>2303</v>
      </c>
      <c r="G882" s="1574"/>
      <c r="H882" s="1574"/>
      <c r="I882" s="1574"/>
      <c r="J882" s="1412">
        <v>0</v>
      </c>
      <c r="K882" s="1412">
        <v>20576226.510000002</v>
      </c>
      <c r="L882" s="1412">
        <v>0</v>
      </c>
      <c r="M882" s="1575">
        <v>0</v>
      </c>
      <c r="N882" s="1575"/>
      <c r="O882" s="1575">
        <v>0</v>
      </c>
      <c r="P882" s="1575"/>
      <c r="Q882" s="1575">
        <v>20576226.510000002</v>
      </c>
      <c r="R882" s="1575"/>
      <c r="S882" s="1575"/>
      <c r="T882" s="1575"/>
      <c r="U882" s="1575"/>
    </row>
    <row r="883" spans="1:21" ht="10.9" customHeight="1">
      <c r="A883" s="1574" t="s">
        <v>345</v>
      </c>
      <c r="B883" s="1574"/>
      <c r="C883" s="1574" t="s">
        <v>1631</v>
      </c>
      <c r="D883" s="1574"/>
      <c r="E883" s="1574"/>
      <c r="F883" s="1574" t="s">
        <v>1632</v>
      </c>
      <c r="G883" s="1574"/>
      <c r="H883" s="1574"/>
      <c r="I883" s="1574"/>
      <c r="J883" s="1412">
        <v>0</v>
      </c>
      <c r="K883" s="1412">
        <v>-167471499.56999999</v>
      </c>
      <c r="L883" s="1412">
        <v>0</v>
      </c>
      <c r="M883" s="1575">
        <v>0</v>
      </c>
      <c r="N883" s="1575"/>
      <c r="O883" s="1575">
        <v>0</v>
      </c>
      <c r="P883" s="1575"/>
      <c r="Q883" s="1575">
        <v>-167471499.56999999</v>
      </c>
      <c r="R883" s="1575"/>
      <c r="S883" s="1575"/>
      <c r="T883" s="1575"/>
      <c r="U883" s="1575"/>
    </row>
    <row r="884" spans="1:21" ht="10.9" customHeight="1">
      <c r="A884" s="1574" t="s">
        <v>345</v>
      </c>
      <c r="B884" s="1574"/>
      <c r="C884" s="1574" t="s">
        <v>1633</v>
      </c>
      <c r="D884" s="1574"/>
      <c r="E884" s="1574"/>
      <c r="F884" s="1574" t="s">
        <v>2304</v>
      </c>
      <c r="G884" s="1574"/>
      <c r="H884" s="1574"/>
      <c r="I884" s="1574"/>
      <c r="J884" s="1412">
        <v>0</v>
      </c>
      <c r="K884" s="1412">
        <v>-167471499.56999999</v>
      </c>
      <c r="L884" s="1412">
        <v>0</v>
      </c>
      <c r="M884" s="1575">
        <v>0</v>
      </c>
      <c r="N884" s="1575"/>
      <c r="O884" s="1575">
        <v>0</v>
      </c>
      <c r="P884" s="1575"/>
      <c r="Q884" s="1575">
        <v>-167471499.56999999</v>
      </c>
      <c r="R884" s="1575"/>
      <c r="S884" s="1575"/>
      <c r="T884" s="1575"/>
      <c r="U884" s="1575"/>
    </row>
    <row r="885" spans="1:21" ht="10.9" customHeight="1">
      <c r="A885" s="1574" t="s">
        <v>345</v>
      </c>
      <c r="B885" s="1574"/>
      <c r="C885" s="1574" t="s">
        <v>1634</v>
      </c>
      <c r="D885" s="1574"/>
      <c r="E885" s="1574"/>
      <c r="F885" s="1574" t="s">
        <v>1635</v>
      </c>
      <c r="G885" s="1574"/>
      <c r="H885" s="1574"/>
      <c r="I885" s="1574"/>
      <c r="J885" s="1412">
        <v>0</v>
      </c>
      <c r="K885" s="1412">
        <v>188047726.08000001</v>
      </c>
      <c r="L885" s="1412">
        <v>0</v>
      </c>
      <c r="M885" s="1575">
        <v>0</v>
      </c>
      <c r="N885" s="1575"/>
      <c r="O885" s="1575">
        <v>0</v>
      </c>
      <c r="P885" s="1575"/>
      <c r="Q885" s="1575">
        <v>188047726.08000001</v>
      </c>
      <c r="R885" s="1575"/>
      <c r="S885" s="1575"/>
      <c r="T885" s="1575"/>
      <c r="U885" s="1575"/>
    </row>
    <row r="886" spans="1:21" ht="10.9" customHeight="1">
      <c r="A886" s="1574" t="s">
        <v>345</v>
      </c>
      <c r="B886" s="1574"/>
      <c r="C886" s="1574" t="s">
        <v>1636</v>
      </c>
      <c r="D886" s="1574"/>
      <c r="E886" s="1574"/>
      <c r="F886" s="1574" t="s">
        <v>1635</v>
      </c>
      <c r="G886" s="1574"/>
      <c r="H886" s="1574"/>
      <c r="I886" s="1574"/>
      <c r="J886" s="1412">
        <v>0</v>
      </c>
      <c r="K886" s="1412">
        <v>188047726.08000001</v>
      </c>
      <c r="L886" s="1412">
        <v>0</v>
      </c>
      <c r="M886" s="1575">
        <v>0</v>
      </c>
      <c r="N886" s="1575"/>
      <c r="O886" s="1575">
        <v>0</v>
      </c>
      <c r="P886" s="1575"/>
      <c r="Q886" s="1575">
        <v>188047726.08000001</v>
      </c>
      <c r="R886" s="1575"/>
      <c r="S886" s="1575"/>
      <c r="T886" s="1575"/>
      <c r="U886" s="1575"/>
    </row>
    <row r="887" spans="1:21" ht="10.9" customHeight="1">
      <c r="A887" s="1574" t="s">
        <v>345</v>
      </c>
      <c r="B887" s="1574"/>
      <c r="C887" s="1574" t="s">
        <v>2305</v>
      </c>
      <c r="D887" s="1574"/>
      <c r="E887" s="1574"/>
      <c r="F887" s="1574" t="s">
        <v>611</v>
      </c>
      <c r="G887" s="1574"/>
      <c r="H887" s="1574"/>
      <c r="I887" s="1574"/>
      <c r="J887" s="1412">
        <v>0</v>
      </c>
      <c r="K887" s="1412">
        <v>98514269.489999995</v>
      </c>
      <c r="L887" s="1412">
        <v>0</v>
      </c>
      <c r="M887" s="1575">
        <v>7772214.2699999996</v>
      </c>
      <c r="N887" s="1575"/>
      <c r="O887" s="1575">
        <v>0</v>
      </c>
      <c r="P887" s="1575"/>
      <c r="Q887" s="1575">
        <v>106286483.76000001</v>
      </c>
      <c r="R887" s="1575"/>
      <c r="S887" s="1575"/>
      <c r="T887" s="1575"/>
      <c r="U887" s="1575"/>
    </row>
    <row r="888" spans="1:21" ht="10.9" customHeight="1">
      <c r="A888" s="1574" t="s">
        <v>345</v>
      </c>
      <c r="B888" s="1574"/>
      <c r="C888" s="1574" t="s">
        <v>2306</v>
      </c>
      <c r="D888" s="1574"/>
      <c r="E888" s="1574"/>
      <c r="F888" s="1574" t="s">
        <v>2307</v>
      </c>
      <c r="G888" s="1574"/>
      <c r="H888" s="1574"/>
      <c r="I888" s="1574"/>
      <c r="J888" s="1412">
        <v>0</v>
      </c>
      <c r="K888" s="1412">
        <v>91098820.670000002</v>
      </c>
      <c r="L888" s="1412">
        <v>0</v>
      </c>
      <c r="M888" s="1575">
        <v>6935386.7800000003</v>
      </c>
      <c r="N888" s="1575"/>
      <c r="O888" s="1575">
        <v>0</v>
      </c>
      <c r="P888" s="1575"/>
      <c r="Q888" s="1575">
        <v>98034207.450000003</v>
      </c>
      <c r="R888" s="1575"/>
      <c r="S888" s="1575"/>
      <c r="T888" s="1575"/>
      <c r="U888" s="1575"/>
    </row>
    <row r="889" spans="1:21" ht="19.149999999999999" customHeight="1">
      <c r="A889" s="1574" t="s">
        <v>345</v>
      </c>
      <c r="B889" s="1574"/>
      <c r="C889" s="1574" t="s">
        <v>2308</v>
      </c>
      <c r="D889" s="1574"/>
      <c r="E889" s="1574"/>
      <c r="F889" s="1574" t="s">
        <v>2999</v>
      </c>
      <c r="G889" s="1574"/>
      <c r="H889" s="1574"/>
      <c r="I889" s="1574"/>
      <c r="J889" s="1412">
        <v>0</v>
      </c>
      <c r="K889" s="1412">
        <v>91098820.670000002</v>
      </c>
      <c r="L889" s="1412">
        <v>0</v>
      </c>
      <c r="M889" s="1575">
        <v>6935386.7800000003</v>
      </c>
      <c r="N889" s="1575"/>
      <c r="O889" s="1575">
        <v>0</v>
      </c>
      <c r="P889" s="1575"/>
      <c r="Q889" s="1575">
        <v>98034207.450000003</v>
      </c>
      <c r="R889" s="1575"/>
      <c r="S889" s="1575"/>
      <c r="T889" s="1575"/>
      <c r="U889" s="1575"/>
    </row>
    <row r="890" spans="1:21" ht="27.2" customHeight="1">
      <c r="A890" s="1574" t="s">
        <v>345</v>
      </c>
      <c r="B890" s="1574"/>
      <c r="C890" s="1574" t="s">
        <v>1637</v>
      </c>
      <c r="D890" s="1574"/>
      <c r="E890" s="1574"/>
      <c r="F890" s="1574" t="s">
        <v>3000</v>
      </c>
      <c r="G890" s="1574"/>
      <c r="H890" s="1574"/>
      <c r="I890" s="1574"/>
      <c r="J890" s="1412">
        <v>0</v>
      </c>
      <c r="K890" s="1412">
        <v>91098820.670000002</v>
      </c>
      <c r="L890" s="1412">
        <v>0</v>
      </c>
      <c r="M890" s="1575">
        <v>6935386.7800000003</v>
      </c>
      <c r="N890" s="1575"/>
      <c r="O890" s="1575">
        <v>0</v>
      </c>
      <c r="P890" s="1575"/>
      <c r="Q890" s="1575">
        <v>98034207.450000003</v>
      </c>
      <c r="R890" s="1575"/>
      <c r="S890" s="1575"/>
      <c r="T890" s="1575"/>
      <c r="U890" s="1575"/>
    </row>
    <row r="891" spans="1:21" ht="19.149999999999999" customHeight="1">
      <c r="A891" s="1574" t="s">
        <v>345</v>
      </c>
      <c r="B891" s="1574"/>
      <c r="C891" s="1574" t="s">
        <v>3001</v>
      </c>
      <c r="D891" s="1574"/>
      <c r="E891" s="1574"/>
      <c r="F891" s="1574" t="s">
        <v>3002</v>
      </c>
      <c r="G891" s="1574"/>
      <c r="H891" s="1574"/>
      <c r="I891" s="1574"/>
      <c r="J891" s="1412">
        <v>0</v>
      </c>
      <c r="K891" s="1412">
        <v>86655664.909999996</v>
      </c>
      <c r="L891" s="1412">
        <v>0</v>
      </c>
      <c r="M891" s="1575">
        <v>6810205.3399999999</v>
      </c>
      <c r="N891" s="1575"/>
      <c r="O891" s="1575">
        <v>0</v>
      </c>
      <c r="P891" s="1575"/>
      <c r="Q891" s="1575">
        <v>93465870.25</v>
      </c>
      <c r="R891" s="1575"/>
      <c r="S891" s="1575"/>
      <c r="T891" s="1575"/>
      <c r="U891" s="1575"/>
    </row>
    <row r="892" spans="1:21" ht="10.9" customHeight="1">
      <c r="A892" s="1574" t="s">
        <v>345</v>
      </c>
      <c r="B892" s="1574"/>
      <c r="C892" s="1574" t="s">
        <v>3003</v>
      </c>
      <c r="D892" s="1574"/>
      <c r="E892" s="1574"/>
      <c r="F892" s="1574" t="s">
        <v>2311</v>
      </c>
      <c r="G892" s="1574"/>
      <c r="H892" s="1574"/>
      <c r="I892" s="1574"/>
      <c r="J892" s="1412">
        <v>0</v>
      </c>
      <c r="K892" s="1412">
        <v>3273415.88</v>
      </c>
      <c r="L892" s="1412">
        <v>0</v>
      </c>
      <c r="M892" s="1575">
        <v>270844.79999999999</v>
      </c>
      <c r="N892" s="1575"/>
      <c r="O892" s="1575">
        <v>0</v>
      </c>
      <c r="P892" s="1575"/>
      <c r="Q892" s="1575">
        <v>3544260.68</v>
      </c>
      <c r="R892" s="1575"/>
      <c r="S892" s="1575"/>
      <c r="T892" s="1575"/>
      <c r="U892" s="1575"/>
    </row>
    <row r="893" spans="1:21" ht="10.9" customHeight="1">
      <c r="A893" s="1574" t="s">
        <v>345</v>
      </c>
      <c r="B893" s="1574"/>
      <c r="C893" s="1574" t="s">
        <v>3004</v>
      </c>
      <c r="D893" s="1574"/>
      <c r="E893" s="1574"/>
      <c r="F893" s="1574" t="s">
        <v>2313</v>
      </c>
      <c r="G893" s="1574"/>
      <c r="H893" s="1574"/>
      <c r="I893" s="1574"/>
      <c r="J893" s="1412">
        <v>0</v>
      </c>
      <c r="K893" s="1412">
        <v>62052402.770000003</v>
      </c>
      <c r="L893" s="1412">
        <v>0</v>
      </c>
      <c r="M893" s="1575">
        <v>4914720.3099999996</v>
      </c>
      <c r="N893" s="1575"/>
      <c r="O893" s="1575">
        <v>0</v>
      </c>
      <c r="P893" s="1575"/>
      <c r="Q893" s="1575">
        <v>66967123.079999998</v>
      </c>
      <c r="R893" s="1575"/>
      <c r="S893" s="1575"/>
      <c r="T893" s="1575"/>
      <c r="U893" s="1575"/>
    </row>
    <row r="894" spans="1:21" ht="10.9" customHeight="1">
      <c r="A894" s="1574" t="s">
        <v>345</v>
      </c>
      <c r="B894" s="1574"/>
      <c r="C894" s="1574" t="s">
        <v>3005</v>
      </c>
      <c r="D894" s="1574"/>
      <c r="E894" s="1574"/>
      <c r="F894" s="1574" t="s">
        <v>2314</v>
      </c>
      <c r="G894" s="1574"/>
      <c r="H894" s="1574"/>
      <c r="I894" s="1574"/>
      <c r="J894" s="1412">
        <v>0</v>
      </c>
      <c r="K894" s="1412">
        <v>6105116.2999999998</v>
      </c>
      <c r="L894" s="1412">
        <v>0</v>
      </c>
      <c r="M894" s="1575">
        <v>505804.04</v>
      </c>
      <c r="N894" s="1575"/>
      <c r="O894" s="1575">
        <v>0</v>
      </c>
      <c r="P894" s="1575"/>
      <c r="Q894" s="1575">
        <v>6610920.3399999999</v>
      </c>
      <c r="R894" s="1575"/>
      <c r="S894" s="1575"/>
      <c r="T894" s="1575"/>
      <c r="U894" s="1575"/>
    </row>
    <row r="895" spans="1:21" ht="10.9" customHeight="1">
      <c r="A895" s="1574" t="s">
        <v>345</v>
      </c>
      <c r="B895" s="1574"/>
      <c r="C895" s="1574" t="s">
        <v>3006</v>
      </c>
      <c r="D895" s="1574"/>
      <c r="E895" s="1574"/>
      <c r="F895" s="1574" t="s">
        <v>2315</v>
      </c>
      <c r="G895" s="1574"/>
      <c r="H895" s="1574"/>
      <c r="I895" s="1574"/>
      <c r="J895" s="1412">
        <v>0</v>
      </c>
      <c r="K895" s="1412">
        <v>21995.86</v>
      </c>
      <c r="L895" s="1412">
        <v>0</v>
      </c>
      <c r="M895" s="1575">
        <v>134.43</v>
      </c>
      <c r="N895" s="1575"/>
      <c r="O895" s="1575">
        <v>0</v>
      </c>
      <c r="P895" s="1575"/>
      <c r="Q895" s="1575">
        <v>22130.29</v>
      </c>
      <c r="R895" s="1575"/>
      <c r="S895" s="1575"/>
      <c r="T895" s="1575"/>
      <c r="U895" s="1575"/>
    </row>
    <row r="896" spans="1:21" ht="10.9" customHeight="1">
      <c r="A896" s="1574" t="s">
        <v>345</v>
      </c>
      <c r="B896" s="1574"/>
      <c r="C896" s="1574" t="s">
        <v>3007</v>
      </c>
      <c r="D896" s="1574"/>
      <c r="E896" s="1574"/>
      <c r="F896" s="1574" t="s">
        <v>2316</v>
      </c>
      <c r="G896" s="1574"/>
      <c r="H896" s="1574"/>
      <c r="I896" s="1574"/>
      <c r="J896" s="1412">
        <v>0</v>
      </c>
      <c r="K896" s="1412">
        <v>3336948.85</v>
      </c>
      <c r="L896" s="1412">
        <v>0</v>
      </c>
      <c r="M896" s="1575">
        <v>246618.91</v>
      </c>
      <c r="N896" s="1575"/>
      <c r="O896" s="1575">
        <v>0</v>
      </c>
      <c r="P896" s="1575"/>
      <c r="Q896" s="1575">
        <v>3583567.76</v>
      </c>
      <c r="R896" s="1575"/>
      <c r="S896" s="1575"/>
      <c r="T896" s="1575"/>
      <c r="U896" s="1575"/>
    </row>
    <row r="897" spans="1:23" ht="10.9" customHeight="1">
      <c r="A897" s="1574" t="s">
        <v>345</v>
      </c>
      <c r="B897" s="1574"/>
      <c r="C897" s="1574" t="s">
        <v>3008</v>
      </c>
      <c r="D897" s="1574"/>
      <c r="E897" s="1574"/>
      <c r="F897" s="1574" t="s">
        <v>2317</v>
      </c>
      <c r="G897" s="1574"/>
      <c r="H897" s="1574"/>
      <c r="I897" s="1574"/>
      <c r="J897" s="1412">
        <v>0</v>
      </c>
      <c r="K897" s="1412">
        <v>1440819.21</v>
      </c>
      <c r="L897" s="1412">
        <v>0</v>
      </c>
      <c r="M897" s="1575">
        <v>129134.92</v>
      </c>
      <c r="N897" s="1575"/>
      <c r="O897" s="1575">
        <v>0</v>
      </c>
      <c r="P897" s="1575"/>
      <c r="Q897" s="1575">
        <v>1569954.13</v>
      </c>
      <c r="R897" s="1575"/>
      <c r="S897" s="1575"/>
      <c r="T897" s="1575"/>
      <c r="U897" s="1575"/>
    </row>
    <row r="898" spans="1:23" ht="10.9" customHeight="1">
      <c r="A898" s="1574" t="s">
        <v>345</v>
      </c>
      <c r="B898" s="1574"/>
      <c r="C898" s="1574" t="s">
        <v>5687</v>
      </c>
      <c r="D898" s="1574"/>
      <c r="E898" s="1574"/>
      <c r="F898" s="1574" t="s">
        <v>5688</v>
      </c>
      <c r="G898" s="1574"/>
      <c r="H898" s="1574"/>
      <c r="I898" s="1574"/>
      <c r="J898" s="1412">
        <v>0</v>
      </c>
      <c r="K898" s="1412">
        <v>55417.25</v>
      </c>
      <c r="L898" s="1412">
        <v>0</v>
      </c>
      <c r="M898" s="1575">
        <v>0</v>
      </c>
      <c r="N898" s="1575"/>
      <c r="O898" s="1575">
        <v>0</v>
      </c>
      <c r="P898" s="1575"/>
      <c r="Q898" s="1575">
        <v>55417.25</v>
      </c>
      <c r="R898" s="1575"/>
      <c r="S898" s="1575"/>
      <c r="T898" s="1575"/>
      <c r="U898" s="1575"/>
    </row>
    <row r="899" spans="1:23" ht="10.9" customHeight="1">
      <c r="A899" s="1574" t="s">
        <v>345</v>
      </c>
      <c r="B899" s="1574"/>
      <c r="C899" s="1574" t="s">
        <v>3009</v>
      </c>
      <c r="D899" s="1574"/>
      <c r="E899" s="1574"/>
      <c r="F899" s="1574" t="s">
        <v>2318</v>
      </c>
      <c r="G899" s="1574"/>
      <c r="H899" s="1574"/>
      <c r="I899" s="1574"/>
      <c r="J899" s="1412">
        <v>0</v>
      </c>
      <c r="K899" s="1412">
        <v>414822.35</v>
      </c>
      <c r="L899" s="1412">
        <v>0</v>
      </c>
      <c r="M899" s="1575">
        <v>25865.95</v>
      </c>
      <c r="N899" s="1575"/>
      <c r="O899" s="1575">
        <v>0</v>
      </c>
      <c r="P899" s="1575"/>
      <c r="Q899" s="1575">
        <v>440688.3</v>
      </c>
      <c r="R899" s="1575"/>
      <c r="S899" s="1575"/>
      <c r="T899" s="1575"/>
      <c r="U899" s="1575"/>
    </row>
    <row r="900" spans="1:23" ht="10.9" customHeight="1">
      <c r="A900" s="1574" t="s">
        <v>345</v>
      </c>
      <c r="B900" s="1574"/>
      <c r="C900" s="1574" t="s">
        <v>3010</v>
      </c>
      <c r="D900" s="1574"/>
      <c r="E900" s="1574"/>
      <c r="F900" s="1574" t="s">
        <v>2319</v>
      </c>
      <c r="G900" s="1574"/>
      <c r="H900" s="1574"/>
      <c r="I900" s="1574"/>
      <c r="J900" s="1412">
        <v>0</v>
      </c>
      <c r="K900" s="1412">
        <v>6495463.2199999997</v>
      </c>
      <c r="L900" s="1412">
        <v>0</v>
      </c>
      <c r="M900" s="1575">
        <v>396070.29</v>
      </c>
      <c r="N900" s="1575"/>
      <c r="O900" s="1575">
        <v>0</v>
      </c>
      <c r="P900" s="1575"/>
      <c r="Q900" s="1575">
        <v>6891533.5099999998</v>
      </c>
      <c r="R900" s="1575"/>
      <c r="S900" s="1575"/>
      <c r="T900" s="1575"/>
      <c r="U900" s="1575"/>
    </row>
    <row r="901" spans="1:23" ht="10.9" customHeight="1">
      <c r="A901" s="1574" t="s">
        <v>345</v>
      </c>
      <c r="B901" s="1574"/>
      <c r="C901" s="1574" t="s">
        <v>3011</v>
      </c>
      <c r="D901" s="1574"/>
      <c r="E901" s="1574"/>
      <c r="F901" s="1574" t="s">
        <v>2320</v>
      </c>
      <c r="G901" s="1574"/>
      <c r="H901" s="1574"/>
      <c r="I901" s="1574"/>
      <c r="J901" s="1412">
        <v>0</v>
      </c>
      <c r="K901" s="1412">
        <v>698442.47</v>
      </c>
      <c r="L901" s="1412">
        <v>0</v>
      </c>
      <c r="M901" s="1575">
        <v>48721.22</v>
      </c>
      <c r="N901" s="1575"/>
      <c r="O901" s="1575">
        <v>0</v>
      </c>
      <c r="P901" s="1575"/>
      <c r="Q901" s="1575">
        <v>747163.69</v>
      </c>
      <c r="R901" s="1575"/>
      <c r="S901" s="1575"/>
      <c r="T901" s="1575"/>
      <c r="U901" s="1575"/>
    </row>
    <row r="902" spans="1:23" ht="10.9" customHeight="1">
      <c r="A902" s="1574" t="s">
        <v>345</v>
      </c>
      <c r="B902" s="1574"/>
      <c r="C902" s="1574" t="s">
        <v>5918</v>
      </c>
      <c r="D902" s="1574"/>
      <c r="E902" s="1574"/>
      <c r="F902" s="1574" t="s">
        <v>5919</v>
      </c>
      <c r="G902" s="1574"/>
      <c r="H902" s="1574"/>
      <c r="I902" s="1574"/>
      <c r="J902" s="1412">
        <v>0</v>
      </c>
      <c r="K902" s="1412">
        <v>57826.559999999998</v>
      </c>
      <c r="L902" s="1412">
        <v>0</v>
      </c>
      <c r="M902" s="1575">
        <v>0</v>
      </c>
      <c r="N902" s="1575"/>
      <c r="O902" s="1575">
        <v>0</v>
      </c>
      <c r="P902" s="1575"/>
      <c r="Q902" s="1575">
        <v>57826.559999999998</v>
      </c>
      <c r="R902" s="1575"/>
      <c r="S902" s="1575"/>
      <c r="T902" s="1575"/>
      <c r="U902" s="1575"/>
    </row>
    <row r="903" spans="1:23" ht="10.9" customHeight="1">
      <c r="A903" s="1574" t="s">
        <v>345</v>
      </c>
      <c r="B903" s="1574"/>
      <c r="C903" s="1574" t="s">
        <v>3012</v>
      </c>
      <c r="D903" s="1574"/>
      <c r="E903" s="1574"/>
      <c r="F903" s="1574" t="s">
        <v>2321</v>
      </c>
      <c r="G903" s="1574"/>
      <c r="H903" s="1574"/>
      <c r="I903" s="1574"/>
      <c r="J903" s="1412">
        <v>0</v>
      </c>
      <c r="K903" s="1412">
        <v>337281.12</v>
      </c>
      <c r="L903" s="1412">
        <v>0</v>
      </c>
      <c r="M903" s="1575">
        <v>28279.56</v>
      </c>
      <c r="N903" s="1575"/>
      <c r="O903" s="1575">
        <v>0</v>
      </c>
      <c r="P903" s="1575"/>
      <c r="Q903" s="1575">
        <v>365560.68</v>
      </c>
      <c r="R903" s="1575"/>
      <c r="S903" s="1575"/>
      <c r="T903" s="1575"/>
      <c r="U903" s="1575"/>
    </row>
    <row r="904" spans="1:23" ht="10.9" customHeight="1">
      <c r="A904" s="1574" t="s">
        <v>345</v>
      </c>
      <c r="B904" s="1574"/>
      <c r="C904" s="1574" t="s">
        <v>3013</v>
      </c>
      <c r="D904" s="1574"/>
      <c r="E904" s="1574"/>
      <c r="F904" s="1574" t="s">
        <v>2322</v>
      </c>
      <c r="G904" s="1574"/>
      <c r="H904" s="1574"/>
      <c r="I904" s="1574"/>
      <c r="J904" s="1412">
        <v>0</v>
      </c>
      <c r="K904" s="1412">
        <v>249333.85</v>
      </c>
      <c r="L904" s="1412">
        <v>0</v>
      </c>
      <c r="M904" s="1575">
        <v>22129.66</v>
      </c>
      <c r="N904" s="1575"/>
      <c r="O904" s="1575">
        <v>0</v>
      </c>
      <c r="P904" s="1575"/>
      <c r="Q904" s="1575">
        <v>271463.51</v>
      </c>
      <c r="R904" s="1575"/>
      <c r="S904" s="1575"/>
      <c r="T904" s="1575"/>
      <c r="U904" s="1575"/>
    </row>
    <row r="905" spans="1:23" ht="10.9" customHeight="1">
      <c r="A905" s="1574" t="s">
        <v>345</v>
      </c>
      <c r="B905" s="1574"/>
      <c r="C905" s="1574" t="s">
        <v>6196</v>
      </c>
      <c r="D905" s="1574"/>
      <c r="E905" s="1574"/>
      <c r="F905" s="1574" t="s">
        <v>6197</v>
      </c>
      <c r="G905" s="1574"/>
      <c r="H905" s="1574"/>
      <c r="I905" s="1574"/>
      <c r="J905" s="1412">
        <v>0</v>
      </c>
      <c r="K905" s="1412">
        <v>537.72</v>
      </c>
      <c r="L905" s="1412">
        <v>0</v>
      </c>
      <c r="M905" s="1575">
        <v>0</v>
      </c>
      <c r="N905" s="1575"/>
      <c r="O905" s="1575">
        <v>0</v>
      </c>
      <c r="P905" s="1575"/>
      <c r="Q905" s="1575">
        <v>537.72</v>
      </c>
      <c r="R905" s="1575"/>
      <c r="S905" s="1575"/>
      <c r="T905" s="1575"/>
      <c r="U905" s="1575"/>
    </row>
    <row r="906" spans="1:23" ht="10.9" customHeight="1">
      <c r="A906" s="1574" t="s">
        <v>345</v>
      </c>
      <c r="B906" s="1574"/>
      <c r="C906" s="1574" t="s">
        <v>3367</v>
      </c>
      <c r="D906" s="1574"/>
      <c r="E906" s="1574"/>
      <c r="F906" s="1574" t="s">
        <v>2383</v>
      </c>
      <c r="G906" s="1574"/>
      <c r="H906" s="1574"/>
      <c r="I906" s="1574"/>
      <c r="J906" s="1412">
        <v>0</v>
      </c>
      <c r="K906" s="1412">
        <v>734998.29</v>
      </c>
      <c r="L906" s="1412">
        <v>0</v>
      </c>
      <c r="M906" s="1575">
        <v>78157.399999999994</v>
      </c>
      <c r="N906" s="1575"/>
      <c r="O906" s="1575">
        <v>0</v>
      </c>
      <c r="P906" s="1575"/>
      <c r="Q906" s="1575">
        <v>813155.69</v>
      </c>
      <c r="R906" s="1575"/>
      <c r="S906" s="1575"/>
      <c r="T906" s="1575"/>
      <c r="U906" s="1575"/>
    </row>
    <row r="907" spans="1:23" ht="10.9" customHeight="1">
      <c r="A907" s="1574" t="s">
        <v>345</v>
      </c>
      <c r="B907" s="1574"/>
      <c r="C907" s="1574" t="s">
        <v>3014</v>
      </c>
      <c r="D907" s="1574"/>
      <c r="E907" s="1574"/>
      <c r="F907" s="1574" t="s">
        <v>2323</v>
      </c>
      <c r="G907" s="1574"/>
      <c r="H907" s="1574"/>
      <c r="I907" s="1574"/>
      <c r="J907" s="1412">
        <v>0</v>
      </c>
      <c r="K907" s="1412">
        <v>1355491.02</v>
      </c>
      <c r="L907" s="1412">
        <v>0</v>
      </c>
      <c r="M907" s="1575">
        <v>143723.85</v>
      </c>
      <c r="N907" s="1575"/>
      <c r="O907" s="1575">
        <v>0</v>
      </c>
      <c r="P907" s="1575"/>
      <c r="Q907" s="1575">
        <v>1499214.87</v>
      </c>
      <c r="R907" s="1575"/>
      <c r="S907" s="1575"/>
      <c r="T907" s="1575"/>
      <c r="U907" s="1575"/>
    </row>
    <row r="908" spans="1:23" ht="10.9" customHeight="1">
      <c r="A908" s="1574" t="s">
        <v>345</v>
      </c>
      <c r="B908" s="1574"/>
      <c r="C908" s="1574" t="s">
        <v>6550</v>
      </c>
      <c r="D908" s="1574"/>
      <c r="E908" s="1574"/>
      <c r="F908" s="1574" t="s">
        <v>6551</v>
      </c>
      <c r="G908" s="1574"/>
      <c r="H908" s="1574"/>
      <c r="I908" s="1574"/>
      <c r="J908" s="1412">
        <v>0</v>
      </c>
      <c r="K908" s="1412">
        <v>25352.19</v>
      </c>
      <c r="L908" s="1412">
        <v>0</v>
      </c>
      <c r="M908" s="1575">
        <v>0</v>
      </c>
      <c r="N908" s="1575"/>
      <c r="O908" s="1575">
        <v>0</v>
      </c>
      <c r="P908" s="1575"/>
      <c r="Q908" s="1575">
        <v>25352.19</v>
      </c>
      <c r="R908" s="1575"/>
      <c r="S908" s="1575"/>
      <c r="T908" s="1575"/>
      <c r="U908" s="1575"/>
    </row>
    <row r="909" spans="1:23" ht="19.149999999999999" customHeight="1">
      <c r="A909" s="1574" t="s">
        <v>345</v>
      </c>
      <c r="B909" s="1574"/>
      <c r="C909" s="1574" t="s">
        <v>2309</v>
      </c>
      <c r="D909" s="1574"/>
      <c r="E909" s="1574"/>
      <c r="F909" s="1574" t="s">
        <v>3002</v>
      </c>
      <c r="G909" s="1574"/>
      <c r="H909" s="1574"/>
      <c r="I909" s="1574"/>
      <c r="J909" s="1412">
        <v>0</v>
      </c>
      <c r="K909" s="1412">
        <v>4443155.76</v>
      </c>
      <c r="L909" s="1412">
        <v>0</v>
      </c>
      <c r="M909" s="1575">
        <v>125181.44</v>
      </c>
      <c r="N909" s="1575"/>
      <c r="O909" s="1575">
        <v>0</v>
      </c>
      <c r="P909" s="1575"/>
      <c r="Q909" s="1575">
        <v>4568337.2</v>
      </c>
      <c r="R909" s="1575"/>
      <c r="S909" s="1575"/>
      <c r="T909" s="1575"/>
      <c r="U909" s="1575"/>
    </row>
    <row r="910" spans="1:23" ht="5.65" customHeight="1"/>
    <row r="911" spans="1:23" ht="14.1" customHeight="1">
      <c r="S911" s="1573" t="s">
        <v>2505</v>
      </c>
      <c r="T911" s="1573"/>
      <c r="U911" s="1573"/>
      <c r="V911" s="1573"/>
      <c r="W911" s="1573"/>
    </row>
    <row r="912" spans="1:23" ht="7.15" customHeight="1">
      <c r="C912" s="1586" t="s">
        <v>2987</v>
      </c>
      <c r="D912" s="1586"/>
      <c r="E912" s="1586"/>
      <c r="F912" s="1586"/>
      <c r="G912" s="1586"/>
      <c r="H912" s="1586"/>
      <c r="I912" s="1586"/>
      <c r="J912" s="1586"/>
      <c r="K912" s="1586"/>
      <c r="L912" s="1586"/>
      <c r="M912" s="1586"/>
      <c r="N912" s="1586"/>
      <c r="O912" s="1586"/>
      <c r="P912" s="1586"/>
      <c r="Q912" s="1586"/>
      <c r="R912" s="1586"/>
      <c r="S912" s="1586"/>
      <c r="T912" s="1586"/>
    </row>
    <row r="913" spans="1:23" ht="9.6" customHeight="1">
      <c r="A913" s="1587"/>
      <c r="B913" s="1587"/>
      <c r="C913" s="1587"/>
      <c r="D913" s="1587"/>
      <c r="E913" s="1587"/>
      <c r="F913" s="1587"/>
      <c r="G913" s="1586"/>
      <c r="H913" s="1586"/>
      <c r="I913" s="1586"/>
      <c r="J913" s="1586"/>
      <c r="K913" s="1586"/>
      <c r="L913" s="1586"/>
      <c r="M913" s="1586"/>
      <c r="N913" s="1586"/>
      <c r="O913" s="1586"/>
      <c r="P913" s="1586"/>
      <c r="Q913" s="1586"/>
      <c r="R913" s="1586"/>
      <c r="S913" s="1586"/>
      <c r="T913" s="1586"/>
    </row>
    <row r="914" spans="1:23" ht="13.35" customHeight="1">
      <c r="A914" s="1587"/>
      <c r="B914" s="1587"/>
      <c r="C914" s="1587"/>
      <c r="D914" s="1587"/>
      <c r="E914" s="1587"/>
      <c r="F914" s="1587"/>
      <c r="G914" s="1588" t="s">
        <v>79</v>
      </c>
      <c r="H914" s="1588"/>
      <c r="I914" s="1588"/>
      <c r="J914" s="1588"/>
      <c r="K914" s="1588"/>
      <c r="L914" s="1588"/>
      <c r="M914" s="1588"/>
      <c r="N914" s="1588"/>
      <c r="O914" s="1588"/>
      <c r="P914" s="1588"/>
      <c r="Q914" s="1588"/>
      <c r="R914" s="1588"/>
    </row>
    <row r="915" spans="1:23" ht="5.25" customHeight="1">
      <c r="A915" s="1587"/>
      <c r="B915" s="1587"/>
      <c r="C915" s="1587"/>
      <c r="D915" s="1587"/>
      <c r="E915" s="1587"/>
      <c r="F915" s="1587"/>
      <c r="G915" s="1581" t="s">
        <v>7015</v>
      </c>
      <c r="H915" s="1581"/>
      <c r="I915" s="1581"/>
      <c r="J915" s="1581"/>
      <c r="K915" s="1581"/>
      <c r="L915" s="1581"/>
      <c r="M915" s="1581"/>
      <c r="N915" s="1581"/>
      <c r="O915" s="1581"/>
      <c r="P915" s="1581"/>
      <c r="Q915" s="1581"/>
    </row>
    <row r="916" spans="1:23" ht="8.1" customHeight="1">
      <c r="B916" s="1580" t="s">
        <v>1916</v>
      </c>
      <c r="C916" s="1580"/>
      <c r="D916" s="1580"/>
      <c r="E916" s="1580"/>
      <c r="F916" s="1580"/>
      <c r="G916" s="1580"/>
      <c r="H916" s="1581"/>
      <c r="I916" s="1581"/>
      <c r="J916" s="1581"/>
      <c r="K916" s="1581"/>
      <c r="L916" s="1581"/>
      <c r="M916" s="1581"/>
      <c r="N916" s="1582" t="s">
        <v>5619</v>
      </c>
      <c r="O916" s="1582"/>
      <c r="P916" s="1582"/>
      <c r="Q916" s="1582"/>
      <c r="R916" s="1582"/>
      <c r="S916" s="1582"/>
      <c r="T916" s="1583" t="s">
        <v>7016</v>
      </c>
      <c r="U916" s="1583"/>
      <c r="V916" s="1583"/>
      <c r="W916" s="1583"/>
    </row>
    <row r="917" spans="1:23" ht="6" customHeight="1">
      <c r="B917" s="1580"/>
      <c r="C917" s="1580"/>
      <c r="D917" s="1580"/>
      <c r="E917" s="1580"/>
      <c r="F917" s="1580"/>
      <c r="G917" s="1580"/>
      <c r="H917" s="1584" t="s">
        <v>7017</v>
      </c>
      <c r="I917" s="1584"/>
      <c r="J917" s="1584"/>
      <c r="K917" s="1584"/>
      <c r="L917" s="1584"/>
      <c r="M917" s="1584"/>
      <c r="N917" s="1582"/>
      <c r="O917" s="1582"/>
      <c r="P917" s="1582"/>
      <c r="Q917" s="1582"/>
      <c r="R917" s="1582"/>
      <c r="S917" s="1582"/>
      <c r="T917" s="1583"/>
      <c r="U917" s="1583"/>
      <c r="V917" s="1583"/>
      <c r="W917" s="1583"/>
    </row>
    <row r="918" spans="1:23" ht="7.35" customHeight="1">
      <c r="B918" s="1580" t="s">
        <v>1994</v>
      </c>
      <c r="C918" s="1580"/>
      <c r="D918" s="1580"/>
      <c r="E918" s="1585"/>
      <c r="F918" s="1585"/>
      <c r="G918" s="1585"/>
      <c r="H918" s="1585"/>
      <c r="I918" s="1585"/>
      <c r="J918" s="1585"/>
      <c r="K918" s="1585"/>
      <c r="L918" s="1585"/>
      <c r="M918" s="1585"/>
      <c r="N918" s="1585"/>
      <c r="O918" s="1585"/>
      <c r="P918" s="1585"/>
      <c r="Q918" s="1585"/>
      <c r="R918" s="1582"/>
      <c r="S918" s="1582"/>
      <c r="T918" s="1582" t="s">
        <v>7018</v>
      </c>
      <c r="U918" s="1582"/>
    </row>
    <row r="919" spans="1:23" ht="6.75" customHeight="1">
      <c r="E919" s="1585"/>
      <c r="F919" s="1585"/>
      <c r="G919" s="1585"/>
      <c r="H919" s="1585"/>
      <c r="I919" s="1585"/>
      <c r="J919" s="1585"/>
      <c r="K919" s="1585"/>
      <c r="L919" s="1585"/>
      <c r="M919" s="1585"/>
      <c r="N919" s="1585"/>
      <c r="O919" s="1585"/>
      <c r="P919" s="1585"/>
      <c r="Q919" s="1585"/>
      <c r="R919" s="1582"/>
      <c r="S919" s="1582"/>
      <c r="T919" s="1582"/>
      <c r="U919" s="1582"/>
    </row>
    <row r="920" spans="1:23" ht="10.9" customHeight="1">
      <c r="A920" s="1576"/>
      <c r="B920" s="1576"/>
      <c r="C920" s="1576"/>
      <c r="D920" s="1576"/>
      <c r="E920" s="1576"/>
      <c r="F920" s="1576"/>
      <c r="G920" s="1576"/>
      <c r="H920" s="1576"/>
      <c r="I920" s="1576"/>
      <c r="J920" s="1577" t="s">
        <v>1314</v>
      </c>
      <c r="K920" s="1577"/>
      <c r="L920" s="1577" t="s">
        <v>1315</v>
      </c>
      <c r="M920" s="1577"/>
      <c r="N920" s="1577"/>
      <c r="O920" s="1577" t="s">
        <v>1316</v>
      </c>
      <c r="P920" s="1577"/>
      <c r="Q920" s="1577"/>
      <c r="R920" s="1577"/>
      <c r="S920" s="1577"/>
      <c r="T920" s="1577"/>
      <c r="U920" s="1577"/>
    </row>
    <row r="921" spans="1:23" ht="14.1" customHeight="1">
      <c r="A921" s="1578" t="s">
        <v>1317</v>
      </c>
      <c r="B921" s="1578"/>
      <c r="C921" s="1578" t="s">
        <v>1318</v>
      </c>
      <c r="D921" s="1578"/>
      <c r="E921" s="1578"/>
      <c r="F921" s="1578" t="s">
        <v>1319</v>
      </c>
      <c r="G921" s="1578"/>
      <c r="H921" s="1578"/>
      <c r="I921" s="1578"/>
      <c r="J921" s="1413" t="s">
        <v>1320</v>
      </c>
      <c r="K921" s="1413" t="s">
        <v>1321</v>
      </c>
      <c r="L921" s="1413" t="s">
        <v>1320</v>
      </c>
      <c r="M921" s="1579" t="s">
        <v>1321</v>
      </c>
      <c r="N921" s="1579"/>
      <c r="O921" s="1579" t="s">
        <v>1320</v>
      </c>
      <c r="P921" s="1579"/>
      <c r="Q921" s="1579" t="s">
        <v>1321</v>
      </c>
      <c r="R921" s="1579"/>
      <c r="S921" s="1579"/>
      <c r="T921" s="1579"/>
      <c r="U921" s="1579"/>
    </row>
    <row r="922" spans="1:23" ht="14.1" customHeight="1">
      <c r="A922" s="1574" t="s">
        <v>345</v>
      </c>
      <c r="B922" s="1574"/>
      <c r="C922" s="1574" t="s">
        <v>2310</v>
      </c>
      <c r="D922" s="1574"/>
      <c r="E922" s="1574"/>
      <c r="F922" s="1574" t="s">
        <v>0</v>
      </c>
      <c r="G922" s="1574"/>
      <c r="H922" s="1574"/>
      <c r="I922" s="1574"/>
      <c r="J922" s="1412">
        <v>0</v>
      </c>
      <c r="K922" s="1412">
        <v>4290254.46</v>
      </c>
      <c r="L922" s="1412">
        <v>0</v>
      </c>
      <c r="M922" s="1575">
        <v>105995.54</v>
      </c>
      <c r="N922" s="1575"/>
      <c r="O922" s="1575">
        <v>0</v>
      </c>
      <c r="P922" s="1575"/>
      <c r="Q922" s="1575">
        <v>4396250</v>
      </c>
      <c r="R922" s="1575"/>
      <c r="S922" s="1575"/>
      <c r="T922" s="1575"/>
      <c r="U922" s="1575"/>
    </row>
    <row r="923" spans="1:23" ht="10.9" customHeight="1">
      <c r="A923" s="1574" t="s">
        <v>345</v>
      </c>
      <c r="B923" s="1574"/>
      <c r="C923" s="1574" t="s">
        <v>3171</v>
      </c>
      <c r="D923" s="1574"/>
      <c r="E923" s="1574"/>
      <c r="F923" s="1574" t="s">
        <v>3172</v>
      </c>
      <c r="G923" s="1574"/>
      <c r="H923" s="1574"/>
      <c r="I923" s="1574"/>
      <c r="J923" s="1412">
        <v>0</v>
      </c>
      <c r="K923" s="1412">
        <v>152901.29999999999</v>
      </c>
      <c r="L923" s="1412">
        <v>0</v>
      </c>
      <c r="M923" s="1575">
        <v>19185.900000000001</v>
      </c>
      <c r="N923" s="1575"/>
      <c r="O923" s="1575">
        <v>0</v>
      </c>
      <c r="P923" s="1575"/>
      <c r="Q923" s="1575">
        <v>172087.2</v>
      </c>
      <c r="R923" s="1575"/>
      <c r="S923" s="1575"/>
      <c r="T923" s="1575"/>
      <c r="U923" s="1575"/>
    </row>
    <row r="924" spans="1:23" ht="10.9" customHeight="1">
      <c r="A924" s="1574" t="s">
        <v>345</v>
      </c>
      <c r="B924" s="1574"/>
      <c r="C924" s="1574" t="s">
        <v>2324</v>
      </c>
      <c r="D924" s="1574"/>
      <c r="E924" s="1574"/>
      <c r="F924" s="1574" t="s">
        <v>2325</v>
      </c>
      <c r="G924" s="1574"/>
      <c r="H924" s="1574"/>
      <c r="I924" s="1574"/>
      <c r="J924" s="1412">
        <v>0</v>
      </c>
      <c r="K924" s="1412">
        <v>7415448.8200000003</v>
      </c>
      <c r="L924" s="1412">
        <v>0</v>
      </c>
      <c r="M924" s="1575">
        <v>836827.49</v>
      </c>
      <c r="N924" s="1575"/>
      <c r="O924" s="1575">
        <v>0</v>
      </c>
      <c r="P924" s="1575"/>
      <c r="Q924" s="1575">
        <v>8252276.3099999996</v>
      </c>
      <c r="R924" s="1575"/>
      <c r="S924" s="1575"/>
      <c r="T924" s="1575"/>
      <c r="U924" s="1575"/>
    </row>
    <row r="925" spans="1:23" ht="10.9" customHeight="1">
      <c r="A925" s="1574" t="s">
        <v>345</v>
      </c>
      <c r="B925" s="1574"/>
      <c r="C925" s="1574" t="s">
        <v>2326</v>
      </c>
      <c r="D925" s="1574"/>
      <c r="E925" s="1574"/>
      <c r="F925" s="1574" t="s">
        <v>2327</v>
      </c>
      <c r="G925" s="1574"/>
      <c r="H925" s="1574"/>
      <c r="I925" s="1574"/>
      <c r="J925" s="1412">
        <v>0</v>
      </c>
      <c r="K925" s="1412">
        <v>7387341.0899999999</v>
      </c>
      <c r="L925" s="1412">
        <v>0</v>
      </c>
      <c r="M925" s="1575">
        <v>817191.3</v>
      </c>
      <c r="N925" s="1575"/>
      <c r="O925" s="1575">
        <v>0</v>
      </c>
      <c r="P925" s="1575"/>
      <c r="Q925" s="1575">
        <v>8204532.3899999997</v>
      </c>
      <c r="R925" s="1575"/>
      <c r="S925" s="1575"/>
      <c r="T925" s="1575"/>
      <c r="U925" s="1575"/>
    </row>
    <row r="926" spans="1:23" ht="19.149999999999999" customHeight="1">
      <c r="A926" s="1574" t="s">
        <v>345</v>
      </c>
      <c r="B926" s="1574"/>
      <c r="C926" s="1574" t="s">
        <v>1638</v>
      </c>
      <c r="D926" s="1574"/>
      <c r="E926" s="1574"/>
      <c r="F926" s="1574" t="s">
        <v>3015</v>
      </c>
      <c r="G926" s="1574"/>
      <c r="H926" s="1574"/>
      <c r="I926" s="1574"/>
      <c r="J926" s="1412">
        <v>0</v>
      </c>
      <c r="K926" s="1412">
        <v>7387341.0899999999</v>
      </c>
      <c r="L926" s="1412">
        <v>0</v>
      </c>
      <c r="M926" s="1575">
        <v>817191.3</v>
      </c>
      <c r="N926" s="1575"/>
      <c r="O926" s="1575">
        <v>0</v>
      </c>
      <c r="P926" s="1575"/>
      <c r="Q926" s="1575">
        <v>8204532.3899999997</v>
      </c>
      <c r="R926" s="1575"/>
      <c r="S926" s="1575"/>
      <c r="T926" s="1575"/>
      <c r="U926" s="1575"/>
    </row>
    <row r="927" spans="1:23" ht="10.9" customHeight="1">
      <c r="A927" s="1574" t="s">
        <v>345</v>
      </c>
      <c r="B927" s="1574"/>
      <c r="C927" s="1574" t="s">
        <v>1639</v>
      </c>
      <c r="D927" s="1574"/>
      <c r="E927" s="1574"/>
      <c r="F927" s="1574" t="s">
        <v>2328</v>
      </c>
      <c r="G927" s="1574"/>
      <c r="H927" s="1574"/>
      <c r="I927" s="1574"/>
      <c r="J927" s="1412">
        <v>0</v>
      </c>
      <c r="K927" s="1412">
        <v>6940050.2400000002</v>
      </c>
      <c r="L927" s="1412">
        <v>0</v>
      </c>
      <c r="M927" s="1575">
        <v>761906.14</v>
      </c>
      <c r="N927" s="1575"/>
      <c r="O927" s="1575">
        <v>0</v>
      </c>
      <c r="P927" s="1575"/>
      <c r="Q927" s="1575">
        <v>7701956.3799999999</v>
      </c>
      <c r="R927" s="1575"/>
      <c r="S927" s="1575"/>
      <c r="T927" s="1575"/>
      <c r="U927" s="1575"/>
    </row>
    <row r="928" spans="1:23" ht="10.9" customHeight="1">
      <c r="A928" s="1574" t="s">
        <v>345</v>
      </c>
      <c r="B928" s="1574"/>
      <c r="C928" s="1574" t="s">
        <v>1640</v>
      </c>
      <c r="D928" s="1574"/>
      <c r="E928" s="1574"/>
      <c r="F928" s="1574" t="s">
        <v>2329</v>
      </c>
      <c r="G928" s="1574"/>
      <c r="H928" s="1574"/>
      <c r="I928" s="1574"/>
      <c r="J928" s="1412">
        <v>0</v>
      </c>
      <c r="K928" s="1412">
        <v>274295.62</v>
      </c>
      <c r="L928" s="1412">
        <v>0</v>
      </c>
      <c r="M928" s="1575">
        <v>55285.16</v>
      </c>
      <c r="N928" s="1575"/>
      <c r="O928" s="1575">
        <v>0</v>
      </c>
      <c r="P928" s="1575"/>
      <c r="Q928" s="1575">
        <v>329580.78000000003</v>
      </c>
      <c r="R928" s="1575"/>
      <c r="S928" s="1575"/>
      <c r="T928" s="1575"/>
      <c r="U928" s="1575"/>
    </row>
    <row r="929" spans="1:21" ht="10.9" customHeight="1">
      <c r="A929" s="1574" t="s">
        <v>345</v>
      </c>
      <c r="B929" s="1574"/>
      <c r="C929" s="1574" t="s">
        <v>3310</v>
      </c>
      <c r="D929" s="1574"/>
      <c r="E929" s="1574"/>
      <c r="F929" s="1574" t="s">
        <v>3311</v>
      </c>
      <c r="G929" s="1574"/>
      <c r="H929" s="1574"/>
      <c r="I929" s="1574"/>
      <c r="J929" s="1412">
        <v>0</v>
      </c>
      <c r="K929" s="1412">
        <v>172995.23</v>
      </c>
      <c r="L929" s="1412">
        <v>0</v>
      </c>
      <c r="M929" s="1575">
        <v>0</v>
      </c>
      <c r="N929" s="1575"/>
      <c r="O929" s="1575">
        <v>0</v>
      </c>
      <c r="P929" s="1575"/>
      <c r="Q929" s="1575">
        <v>172995.23</v>
      </c>
      <c r="R929" s="1575"/>
      <c r="S929" s="1575"/>
      <c r="T929" s="1575"/>
      <c r="U929" s="1575"/>
    </row>
    <row r="930" spans="1:21" ht="10.9" customHeight="1">
      <c r="A930" s="1574" t="s">
        <v>345</v>
      </c>
      <c r="B930" s="1574"/>
      <c r="C930" s="1574" t="s">
        <v>2330</v>
      </c>
      <c r="D930" s="1574"/>
      <c r="E930" s="1574"/>
      <c r="F930" s="1574" t="s">
        <v>1642</v>
      </c>
      <c r="G930" s="1574"/>
      <c r="H930" s="1574"/>
      <c r="I930" s="1574"/>
      <c r="J930" s="1412">
        <v>0</v>
      </c>
      <c r="K930" s="1412">
        <v>28107.73</v>
      </c>
      <c r="L930" s="1412">
        <v>0</v>
      </c>
      <c r="M930" s="1575">
        <v>19636.189999999999</v>
      </c>
      <c r="N930" s="1575"/>
      <c r="O930" s="1575">
        <v>0</v>
      </c>
      <c r="P930" s="1575"/>
      <c r="Q930" s="1575">
        <v>47743.92</v>
      </c>
      <c r="R930" s="1575"/>
      <c r="S930" s="1575"/>
      <c r="T930" s="1575"/>
      <c r="U930" s="1575"/>
    </row>
    <row r="931" spans="1:21" ht="10.9" customHeight="1">
      <c r="A931" s="1574" t="s">
        <v>345</v>
      </c>
      <c r="B931" s="1574"/>
      <c r="C931" s="1574" t="s">
        <v>1641</v>
      </c>
      <c r="D931" s="1574"/>
      <c r="E931" s="1574"/>
      <c r="F931" s="1574" t="s">
        <v>1642</v>
      </c>
      <c r="G931" s="1574"/>
      <c r="H931" s="1574"/>
      <c r="I931" s="1574"/>
      <c r="J931" s="1412">
        <v>0</v>
      </c>
      <c r="K931" s="1412">
        <v>28107.73</v>
      </c>
      <c r="L931" s="1412">
        <v>0</v>
      </c>
      <c r="M931" s="1575">
        <v>19636.189999999999</v>
      </c>
      <c r="N931" s="1575"/>
      <c r="O931" s="1575">
        <v>0</v>
      </c>
      <c r="P931" s="1575"/>
      <c r="Q931" s="1575">
        <v>47743.92</v>
      </c>
      <c r="R931" s="1575"/>
      <c r="S931" s="1575"/>
      <c r="T931" s="1575"/>
      <c r="U931" s="1575"/>
    </row>
    <row r="932" spans="1:21" ht="10.9" customHeight="1">
      <c r="A932" s="1574" t="s">
        <v>345</v>
      </c>
      <c r="B932" s="1574"/>
      <c r="C932" s="1574" t="s">
        <v>5971</v>
      </c>
      <c r="D932" s="1574"/>
      <c r="E932" s="1574"/>
      <c r="F932" s="1574" t="s">
        <v>5972</v>
      </c>
      <c r="G932" s="1574"/>
      <c r="H932" s="1574"/>
      <c r="I932" s="1574"/>
      <c r="J932" s="1412">
        <v>0</v>
      </c>
      <c r="K932" s="1412">
        <v>17.46</v>
      </c>
      <c r="L932" s="1412">
        <v>0</v>
      </c>
      <c r="M932" s="1575">
        <v>0.01</v>
      </c>
      <c r="N932" s="1575"/>
      <c r="O932" s="1575">
        <v>0</v>
      </c>
      <c r="P932" s="1575"/>
      <c r="Q932" s="1575">
        <v>17.47</v>
      </c>
      <c r="R932" s="1575"/>
      <c r="S932" s="1575"/>
      <c r="T932" s="1575"/>
      <c r="U932" s="1575"/>
    </row>
    <row r="933" spans="1:21" ht="10.9" customHeight="1">
      <c r="A933" s="1574" t="s">
        <v>345</v>
      </c>
      <c r="B933" s="1574"/>
      <c r="C933" s="1574" t="s">
        <v>1643</v>
      </c>
      <c r="D933" s="1574"/>
      <c r="E933" s="1574"/>
      <c r="F933" s="1574" t="s">
        <v>2331</v>
      </c>
      <c r="G933" s="1574"/>
      <c r="H933" s="1574"/>
      <c r="I933" s="1574"/>
      <c r="J933" s="1412">
        <v>0</v>
      </c>
      <c r="K933" s="1412">
        <v>28090.27</v>
      </c>
      <c r="L933" s="1412">
        <v>0</v>
      </c>
      <c r="M933" s="1575">
        <v>19636.18</v>
      </c>
      <c r="N933" s="1575"/>
      <c r="O933" s="1575">
        <v>0</v>
      </c>
      <c r="P933" s="1575"/>
      <c r="Q933" s="1575">
        <v>47726.45</v>
      </c>
      <c r="R933" s="1575"/>
      <c r="S933" s="1575"/>
      <c r="T933" s="1575"/>
      <c r="U933" s="1575"/>
    </row>
    <row r="934" spans="1:21" ht="10.9" customHeight="1">
      <c r="A934" s="1574" t="s">
        <v>1322</v>
      </c>
      <c r="B934" s="1574"/>
      <c r="C934" s="1574" t="s">
        <v>2332</v>
      </c>
      <c r="D934" s="1574"/>
      <c r="E934" s="1574"/>
      <c r="F934" s="1574" t="s">
        <v>612</v>
      </c>
      <c r="G934" s="1574"/>
      <c r="H934" s="1574"/>
      <c r="I934" s="1574"/>
      <c r="J934" s="1412">
        <v>48402836.030000001</v>
      </c>
      <c r="K934" s="1412">
        <v>0</v>
      </c>
      <c r="L934" s="1412">
        <v>9272948.4399999995</v>
      </c>
      <c r="M934" s="1575">
        <v>0</v>
      </c>
      <c r="N934" s="1575"/>
      <c r="O934" s="1575">
        <v>57675784.469999999</v>
      </c>
      <c r="P934" s="1575"/>
      <c r="Q934" s="1575">
        <v>0</v>
      </c>
      <c r="R934" s="1575"/>
      <c r="S934" s="1575"/>
      <c r="T934" s="1575"/>
      <c r="U934" s="1575"/>
    </row>
    <row r="935" spans="1:21" ht="10.9" customHeight="1">
      <c r="A935" s="1574" t="s">
        <v>1322</v>
      </c>
      <c r="B935" s="1574"/>
      <c r="C935" s="1574" t="s">
        <v>2333</v>
      </c>
      <c r="D935" s="1574"/>
      <c r="E935" s="1574"/>
      <c r="F935" s="1574" t="s">
        <v>148</v>
      </c>
      <c r="G935" s="1574"/>
      <c r="H935" s="1574"/>
      <c r="I935" s="1574"/>
      <c r="J935" s="1412">
        <v>43201576.060000002</v>
      </c>
      <c r="K935" s="1412">
        <v>0</v>
      </c>
      <c r="L935" s="1412">
        <v>8188183.5099999998</v>
      </c>
      <c r="M935" s="1575">
        <v>0</v>
      </c>
      <c r="N935" s="1575"/>
      <c r="O935" s="1575">
        <v>51389759.57</v>
      </c>
      <c r="P935" s="1575"/>
      <c r="Q935" s="1575">
        <v>0</v>
      </c>
      <c r="R935" s="1575"/>
      <c r="S935" s="1575"/>
      <c r="T935" s="1575"/>
      <c r="U935" s="1575"/>
    </row>
    <row r="936" spans="1:21" ht="10.9" customHeight="1">
      <c r="A936" s="1574" t="s">
        <v>1322</v>
      </c>
      <c r="B936" s="1574"/>
      <c r="C936" s="1574" t="s">
        <v>2334</v>
      </c>
      <c r="D936" s="1574"/>
      <c r="E936" s="1574"/>
      <c r="F936" s="1574" t="s">
        <v>145</v>
      </c>
      <c r="G936" s="1574"/>
      <c r="H936" s="1574"/>
      <c r="I936" s="1574"/>
      <c r="J936" s="1412">
        <v>12683784.560000001</v>
      </c>
      <c r="K936" s="1412">
        <v>0</v>
      </c>
      <c r="L936" s="1412">
        <v>2390994</v>
      </c>
      <c r="M936" s="1575">
        <v>0</v>
      </c>
      <c r="N936" s="1575"/>
      <c r="O936" s="1575">
        <v>15074778.560000001</v>
      </c>
      <c r="P936" s="1575"/>
      <c r="Q936" s="1575">
        <v>0</v>
      </c>
      <c r="R936" s="1575"/>
      <c r="S936" s="1575"/>
      <c r="T936" s="1575"/>
      <c r="U936" s="1575"/>
    </row>
    <row r="937" spans="1:21" ht="19.149999999999999" customHeight="1">
      <c r="A937" s="1574" t="s">
        <v>1322</v>
      </c>
      <c r="B937" s="1574"/>
      <c r="C937" s="1574" t="s">
        <v>1644</v>
      </c>
      <c r="D937" s="1574"/>
      <c r="E937" s="1574"/>
      <c r="F937" s="1574" t="s">
        <v>1645</v>
      </c>
      <c r="G937" s="1574"/>
      <c r="H937" s="1574"/>
      <c r="I937" s="1574"/>
      <c r="J937" s="1412">
        <v>9409739.8800000008</v>
      </c>
      <c r="K937" s="1412">
        <v>0</v>
      </c>
      <c r="L937" s="1412">
        <v>777624.3</v>
      </c>
      <c r="M937" s="1575">
        <v>0</v>
      </c>
      <c r="N937" s="1575"/>
      <c r="O937" s="1575">
        <v>10187364.18</v>
      </c>
      <c r="P937" s="1575"/>
      <c r="Q937" s="1575">
        <v>0</v>
      </c>
      <c r="R937" s="1575"/>
      <c r="S937" s="1575"/>
      <c r="T937" s="1575"/>
      <c r="U937" s="1575"/>
    </row>
    <row r="938" spans="1:21" ht="10.9" customHeight="1">
      <c r="A938" s="1574" t="s">
        <v>1322</v>
      </c>
      <c r="B938" s="1574"/>
      <c r="C938" s="1574" t="s">
        <v>2335</v>
      </c>
      <c r="D938" s="1574"/>
      <c r="E938" s="1574"/>
      <c r="F938" s="1574" t="s">
        <v>2227</v>
      </c>
      <c r="G938" s="1574"/>
      <c r="H938" s="1574"/>
      <c r="I938" s="1574"/>
      <c r="J938" s="1412">
        <v>9409739.8800000008</v>
      </c>
      <c r="K938" s="1412">
        <v>0</v>
      </c>
      <c r="L938" s="1412">
        <v>777624.3</v>
      </c>
      <c r="M938" s="1575">
        <v>0</v>
      </c>
      <c r="N938" s="1575"/>
      <c r="O938" s="1575">
        <v>10187364.18</v>
      </c>
      <c r="P938" s="1575"/>
      <c r="Q938" s="1575">
        <v>0</v>
      </c>
      <c r="R938" s="1575"/>
      <c r="S938" s="1575"/>
      <c r="T938" s="1575"/>
      <c r="U938" s="1575"/>
    </row>
    <row r="939" spans="1:21" ht="10.9" customHeight="1">
      <c r="A939" s="1574" t="s">
        <v>1322</v>
      </c>
      <c r="B939" s="1574"/>
      <c r="C939" s="1574" t="s">
        <v>1646</v>
      </c>
      <c r="D939" s="1574"/>
      <c r="E939" s="1574"/>
      <c r="F939" s="1574" t="s">
        <v>1647</v>
      </c>
      <c r="G939" s="1574"/>
      <c r="H939" s="1574"/>
      <c r="I939" s="1574"/>
      <c r="J939" s="1412">
        <v>243499.49</v>
      </c>
      <c r="K939" s="1412">
        <v>0</v>
      </c>
      <c r="L939" s="1412">
        <v>1358022.02</v>
      </c>
      <c r="M939" s="1575">
        <v>0</v>
      </c>
      <c r="N939" s="1575"/>
      <c r="O939" s="1575">
        <v>1601521.51</v>
      </c>
      <c r="P939" s="1575"/>
      <c r="Q939" s="1575">
        <v>0</v>
      </c>
      <c r="R939" s="1575"/>
      <c r="S939" s="1575"/>
      <c r="T939" s="1575"/>
      <c r="U939" s="1575"/>
    </row>
    <row r="940" spans="1:21" ht="10.9" customHeight="1">
      <c r="A940" s="1574" t="s">
        <v>1322</v>
      </c>
      <c r="B940" s="1574"/>
      <c r="C940" s="1574" t="s">
        <v>6552</v>
      </c>
      <c r="D940" s="1574"/>
      <c r="E940" s="1574"/>
      <c r="F940" s="1574" t="s">
        <v>6548</v>
      </c>
      <c r="G940" s="1574"/>
      <c r="H940" s="1574"/>
      <c r="I940" s="1574"/>
      <c r="J940" s="1412">
        <v>141385.37</v>
      </c>
      <c r="K940" s="1412">
        <v>0</v>
      </c>
      <c r="L940" s="1412">
        <v>1292908.6599999999</v>
      </c>
      <c r="M940" s="1575">
        <v>0</v>
      </c>
      <c r="N940" s="1575"/>
      <c r="O940" s="1575">
        <v>1434294.03</v>
      </c>
      <c r="P940" s="1575"/>
      <c r="Q940" s="1575">
        <v>0</v>
      </c>
      <c r="R940" s="1575"/>
      <c r="S940" s="1575"/>
      <c r="T940" s="1575"/>
      <c r="U940" s="1575"/>
    </row>
    <row r="941" spans="1:21" ht="10.9" customHeight="1">
      <c r="A941" s="1574" t="s">
        <v>1322</v>
      </c>
      <c r="B941" s="1574"/>
      <c r="C941" s="1574" t="s">
        <v>6325</v>
      </c>
      <c r="D941" s="1574"/>
      <c r="E941" s="1574"/>
      <c r="F941" s="1574" t="s">
        <v>6322</v>
      </c>
      <c r="G941" s="1574"/>
      <c r="H941" s="1574"/>
      <c r="I941" s="1574"/>
      <c r="J941" s="1412">
        <v>77032.289999999994</v>
      </c>
      <c r="K941" s="1412">
        <v>0</v>
      </c>
      <c r="L941" s="1412">
        <v>64121.72</v>
      </c>
      <c r="M941" s="1575">
        <v>0</v>
      </c>
      <c r="N941" s="1575"/>
      <c r="O941" s="1575">
        <v>141154.01</v>
      </c>
      <c r="P941" s="1575"/>
      <c r="Q941" s="1575">
        <v>0</v>
      </c>
      <c r="R941" s="1575"/>
      <c r="S941" s="1575"/>
      <c r="T941" s="1575"/>
      <c r="U941" s="1575"/>
    </row>
    <row r="942" spans="1:21" ht="10.9" customHeight="1">
      <c r="A942" s="1574" t="s">
        <v>1322</v>
      </c>
      <c r="B942" s="1574"/>
      <c r="C942" s="1574" t="s">
        <v>2336</v>
      </c>
      <c r="D942" s="1574"/>
      <c r="E942" s="1574"/>
      <c r="F942" s="1574" t="s">
        <v>1688</v>
      </c>
      <c r="G942" s="1574"/>
      <c r="H942" s="1574"/>
      <c r="I942" s="1574"/>
      <c r="J942" s="1412">
        <v>25081.83</v>
      </c>
      <c r="K942" s="1412">
        <v>0</v>
      </c>
      <c r="L942" s="1412">
        <v>991.64</v>
      </c>
      <c r="M942" s="1575">
        <v>0</v>
      </c>
      <c r="N942" s="1575"/>
      <c r="O942" s="1575">
        <v>26073.47</v>
      </c>
      <c r="P942" s="1575"/>
      <c r="Q942" s="1575">
        <v>0</v>
      </c>
      <c r="R942" s="1575"/>
      <c r="S942" s="1575"/>
      <c r="T942" s="1575"/>
      <c r="U942" s="1575"/>
    </row>
    <row r="943" spans="1:21" ht="10.9" customHeight="1">
      <c r="A943" s="1574" t="s">
        <v>1322</v>
      </c>
      <c r="B943" s="1574"/>
      <c r="C943" s="1574" t="s">
        <v>1648</v>
      </c>
      <c r="D943" s="1574"/>
      <c r="E943" s="1574"/>
      <c r="F943" s="1574" t="s">
        <v>1649</v>
      </c>
      <c r="G943" s="1574"/>
      <c r="H943" s="1574"/>
      <c r="I943" s="1574"/>
      <c r="J943" s="1412">
        <v>1578097.51</v>
      </c>
      <c r="K943" s="1412">
        <v>0</v>
      </c>
      <c r="L943" s="1412">
        <v>202615.8</v>
      </c>
      <c r="M943" s="1575">
        <v>0</v>
      </c>
      <c r="N943" s="1575"/>
      <c r="O943" s="1575">
        <v>1780713.31</v>
      </c>
      <c r="P943" s="1575"/>
      <c r="Q943" s="1575">
        <v>0</v>
      </c>
      <c r="R943" s="1575"/>
      <c r="S943" s="1575"/>
      <c r="T943" s="1575"/>
      <c r="U943" s="1575"/>
    </row>
    <row r="944" spans="1:21" ht="10.9" customHeight="1">
      <c r="A944" s="1574" t="s">
        <v>1322</v>
      </c>
      <c r="B944" s="1574"/>
      <c r="C944" s="1574" t="s">
        <v>2337</v>
      </c>
      <c r="D944" s="1574"/>
      <c r="E944" s="1574"/>
      <c r="F944" s="1574" t="s">
        <v>2231</v>
      </c>
      <c r="G944" s="1574"/>
      <c r="H944" s="1574"/>
      <c r="I944" s="1574"/>
      <c r="J944" s="1412">
        <v>1526725.85</v>
      </c>
      <c r="K944" s="1412">
        <v>0</v>
      </c>
      <c r="L944" s="1412">
        <v>198294.32</v>
      </c>
      <c r="M944" s="1575">
        <v>0</v>
      </c>
      <c r="N944" s="1575"/>
      <c r="O944" s="1575">
        <v>1725020.17</v>
      </c>
      <c r="P944" s="1575"/>
      <c r="Q944" s="1575">
        <v>0</v>
      </c>
      <c r="R944" s="1575"/>
      <c r="S944" s="1575"/>
      <c r="T944" s="1575"/>
      <c r="U944" s="1575"/>
    </row>
    <row r="945" spans="1:23" ht="10.9" customHeight="1">
      <c r="A945" s="1574" t="s">
        <v>1322</v>
      </c>
      <c r="B945" s="1574"/>
      <c r="C945" s="1574" t="s">
        <v>2338</v>
      </c>
      <c r="D945" s="1574"/>
      <c r="E945" s="1574"/>
      <c r="F945" s="1574" t="s">
        <v>2233</v>
      </c>
      <c r="G945" s="1574"/>
      <c r="H945" s="1574"/>
      <c r="I945" s="1574"/>
      <c r="J945" s="1412">
        <v>51371.66</v>
      </c>
      <c r="K945" s="1412">
        <v>0</v>
      </c>
      <c r="L945" s="1412">
        <v>4321.4799999999996</v>
      </c>
      <c r="M945" s="1575">
        <v>0</v>
      </c>
      <c r="N945" s="1575"/>
      <c r="O945" s="1575">
        <v>55693.14</v>
      </c>
      <c r="P945" s="1575"/>
      <c r="Q945" s="1575">
        <v>0</v>
      </c>
      <c r="R945" s="1575"/>
      <c r="S945" s="1575"/>
      <c r="T945" s="1575"/>
      <c r="U945" s="1575"/>
    </row>
    <row r="946" spans="1:23" ht="10.9" customHeight="1">
      <c r="A946" s="1574" t="s">
        <v>1322</v>
      </c>
      <c r="B946" s="1574"/>
      <c r="C946" s="1574" t="s">
        <v>1650</v>
      </c>
      <c r="D946" s="1574"/>
      <c r="E946" s="1574"/>
      <c r="F946" s="1574" t="s">
        <v>1651</v>
      </c>
      <c r="G946" s="1574"/>
      <c r="H946" s="1574"/>
      <c r="I946" s="1574"/>
      <c r="J946" s="1412">
        <v>1452447.68</v>
      </c>
      <c r="K946" s="1412">
        <v>0</v>
      </c>
      <c r="L946" s="1412">
        <v>52731.88</v>
      </c>
      <c r="M946" s="1575">
        <v>0</v>
      </c>
      <c r="N946" s="1575"/>
      <c r="O946" s="1575">
        <v>1505179.56</v>
      </c>
      <c r="P946" s="1575"/>
      <c r="Q946" s="1575">
        <v>0</v>
      </c>
      <c r="R946" s="1575"/>
      <c r="S946" s="1575"/>
      <c r="T946" s="1575"/>
      <c r="U946" s="1575"/>
    </row>
    <row r="947" spans="1:23" ht="10.9" customHeight="1">
      <c r="A947" s="1574" t="s">
        <v>1322</v>
      </c>
      <c r="B947" s="1574"/>
      <c r="C947" s="1574" t="s">
        <v>2339</v>
      </c>
      <c r="D947" s="1574"/>
      <c r="E947" s="1574"/>
      <c r="F947" s="1574" t="s">
        <v>2236</v>
      </c>
      <c r="G947" s="1574"/>
      <c r="H947" s="1574"/>
      <c r="I947" s="1574"/>
      <c r="J947" s="1412">
        <v>842994.24</v>
      </c>
      <c r="K947" s="1412">
        <v>0</v>
      </c>
      <c r="L947" s="1412">
        <v>0</v>
      </c>
      <c r="M947" s="1575">
        <v>0</v>
      </c>
      <c r="N947" s="1575"/>
      <c r="O947" s="1575">
        <v>842994.24</v>
      </c>
      <c r="P947" s="1575"/>
      <c r="Q947" s="1575">
        <v>0</v>
      </c>
      <c r="R947" s="1575"/>
      <c r="S947" s="1575"/>
      <c r="T947" s="1575"/>
      <c r="U947" s="1575"/>
    </row>
    <row r="948" spans="1:23" ht="10.9" customHeight="1">
      <c r="A948" s="1574" t="s">
        <v>1322</v>
      </c>
      <c r="B948" s="1574"/>
      <c r="C948" s="1574" t="s">
        <v>2340</v>
      </c>
      <c r="D948" s="1574"/>
      <c r="E948" s="1574"/>
      <c r="F948" s="1574" t="s">
        <v>1689</v>
      </c>
      <c r="G948" s="1574"/>
      <c r="H948" s="1574"/>
      <c r="I948" s="1574"/>
      <c r="J948" s="1412">
        <v>609453.43999999994</v>
      </c>
      <c r="K948" s="1412">
        <v>0</v>
      </c>
      <c r="L948" s="1412">
        <v>52731.88</v>
      </c>
      <c r="M948" s="1575">
        <v>0</v>
      </c>
      <c r="N948" s="1575"/>
      <c r="O948" s="1575">
        <v>662185.31999999995</v>
      </c>
      <c r="P948" s="1575"/>
      <c r="Q948" s="1575">
        <v>0</v>
      </c>
      <c r="R948" s="1575"/>
      <c r="S948" s="1575"/>
      <c r="T948" s="1575"/>
      <c r="U948" s="1575"/>
    </row>
    <row r="949" spans="1:23" ht="10.9" customHeight="1">
      <c r="A949" s="1574" t="s">
        <v>1322</v>
      </c>
      <c r="B949" s="1574"/>
      <c r="C949" s="1574" t="s">
        <v>2341</v>
      </c>
      <c r="D949" s="1574"/>
      <c r="E949" s="1574"/>
      <c r="F949" s="1574" t="s">
        <v>146</v>
      </c>
      <c r="G949" s="1574"/>
      <c r="H949" s="1574"/>
      <c r="I949" s="1574"/>
      <c r="J949" s="1412">
        <v>789231.62</v>
      </c>
      <c r="K949" s="1412">
        <v>0</v>
      </c>
      <c r="L949" s="1412">
        <v>73562.09</v>
      </c>
      <c r="M949" s="1575">
        <v>0</v>
      </c>
      <c r="N949" s="1575"/>
      <c r="O949" s="1575">
        <v>862793.71</v>
      </c>
      <c r="P949" s="1575"/>
      <c r="Q949" s="1575">
        <v>0</v>
      </c>
      <c r="R949" s="1575"/>
      <c r="S949" s="1575"/>
      <c r="T949" s="1575"/>
      <c r="U949" s="1575"/>
    </row>
    <row r="950" spans="1:23" ht="19.149999999999999" customHeight="1">
      <c r="A950" s="1574" t="s">
        <v>1322</v>
      </c>
      <c r="B950" s="1574"/>
      <c r="C950" s="1574" t="s">
        <v>1652</v>
      </c>
      <c r="D950" s="1574"/>
      <c r="E950" s="1574"/>
      <c r="F950" s="1574" t="s">
        <v>2342</v>
      </c>
      <c r="G950" s="1574"/>
      <c r="H950" s="1574"/>
      <c r="I950" s="1574"/>
      <c r="J950" s="1412">
        <v>224521.37</v>
      </c>
      <c r="K950" s="1412">
        <v>0</v>
      </c>
      <c r="L950" s="1412">
        <v>14490.07</v>
      </c>
      <c r="M950" s="1575">
        <v>0</v>
      </c>
      <c r="N950" s="1575"/>
      <c r="O950" s="1575">
        <v>239011.44</v>
      </c>
      <c r="P950" s="1575"/>
      <c r="Q950" s="1575">
        <v>0</v>
      </c>
      <c r="R950" s="1575"/>
      <c r="S950" s="1575"/>
      <c r="T950" s="1575"/>
      <c r="U950" s="1575"/>
    </row>
    <row r="951" spans="1:23" ht="10.9" customHeight="1">
      <c r="A951" s="1574" t="s">
        <v>1322</v>
      </c>
      <c r="B951" s="1574"/>
      <c r="C951" s="1574" t="s">
        <v>3312</v>
      </c>
      <c r="D951" s="1574"/>
      <c r="E951" s="1574"/>
      <c r="F951" s="1574" t="s">
        <v>3301</v>
      </c>
      <c r="G951" s="1574"/>
      <c r="H951" s="1574"/>
      <c r="I951" s="1574"/>
      <c r="J951" s="1412">
        <v>69885.14</v>
      </c>
      <c r="K951" s="1412">
        <v>0</v>
      </c>
      <c r="L951" s="1412">
        <v>5926.07</v>
      </c>
      <c r="M951" s="1575">
        <v>0</v>
      </c>
      <c r="N951" s="1575"/>
      <c r="O951" s="1575">
        <v>75811.210000000006</v>
      </c>
      <c r="P951" s="1575"/>
      <c r="Q951" s="1575">
        <v>0</v>
      </c>
      <c r="R951" s="1575"/>
      <c r="S951" s="1575"/>
      <c r="T951" s="1575"/>
      <c r="U951" s="1575"/>
    </row>
    <row r="952" spans="1:23" ht="10.9" customHeight="1">
      <c r="A952" s="1574" t="s">
        <v>1322</v>
      </c>
      <c r="B952" s="1574"/>
      <c r="C952" s="1574" t="s">
        <v>5805</v>
      </c>
      <c r="D952" s="1574"/>
      <c r="E952" s="1574"/>
      <c r="F952" s="1574" t="s">
        <v>5791</v>
      </c>
      <c r="G952" s="1574"/>
      <c r="H952" s="1574"/>
      <c r="I952" s="1574"/>
      <c r="J952" s="1412">
        <v>98112.33</v>
      </c>
      <c r="K952" s="1412">
        <v>0</v>
      </c>
      <c r="L952" s="1412">
        <v>0</v>
      </c>
      <c r="M952" s="1575">
        <v>0</v>
      </c>
      <c r="N952" s="1575"/>
      <c r="O952" s="1575">
        <v>98112.33</v>
      </c>
      <c r="P952" s="1575"/>
      <c r="Q952" s="1575">
        <v>0</v>
      </c>
      <c r="R952" s="1575"/>
      <c r="S952" s="1575"/>
      <c r="T952" s="1575"/>
      <c r="U952" s="1575"/>
    </row>
    <row r="953" spans="1:23" ht="10.9" customHeight="1">
      <c r="A953" s="1574" t="s">
        <v>1322</v>
      </c>
      <c r="B953" s="1574"/>
      <c r="C953" s="1574" t="s">
        <v>5806</v>
      </c>
      <c r="D953" s="1574"/>
      <c r="E953" s="1574"/>
      <c r="F953" s="1574" t="s">
        <v>5793</v>
      </c>
      <c r="G953" s="1574"/>
      <c r="H953" s="1574"/>
      <c r="I953" s="1574"/>
      <c r="J953" s="1412">
        <v>56523.9</v>
      </c>
      <c r="K953" s="1412">
        <v>0</v>
      </c>
      <c r="L953" s="1412">
        <v>8564</v>
      </c>
      <c r="M953" s="1575">
        <v>0</v>
      </c>
      <c r="N953" s="1575"/>
      <c r="O953" s="1575">
        <v>65087.9</v>
      </c>
      <c r="P953" s="1575"/>
      <c r="Q953" s="1575">
        <v>0</v>
      </c>
      <c r="R953" s="1575"/>
      <c r="S953" s="1575"/>
      <c r="T953" s="1575"/>
      <c r="U953" s="1575"/>
    </row>
    <row r="954" spans="1:23" ht="10.9" customHeight="1">
      <c r="A954" s="1574" t="s">
        <v>1322</v>
      </c>
      <c r="B954" s="1574"/>
      <c r="C954" s="1574" t="s">
        <v>3313</v>
      </c>
      <c r="D954" s="1574"/>
      <c r="E954" s="1574"/>
      <c r="F954" s="1574" t="s">
        <v>3314</v>
      </c>
      <c r="G954" s="1574"/>
      <c r="H954" s="1574"/>
      <c r="I954" s="1574"/>
      <c r="J954" s="1412">
        <v>45816.25</v>
      </c>
      <c r="K954" s="1412">
        <v>0</v>
      </c>
      <c r="L954" s="1412">
        <v>2586.8000000000002</v>
      </c>
      <c r="M954" s="1575">
        <v>0</v>
      </c>
      <c r="N954" s="1575"/>
      <c r="O954" s="1575">
        <v>48403.05</v>
      </c>
      <c r="P954" s="1575"/>
      <c r="Q954" s="1575">
        <v>0</v>
      </c>
      <c r="R954" s="1575"/>
      <c r="S954" s="1575"/>
      <c r="T954" s="1575"/>
      <c r="U954" s="1575"/>
    </row>
    <row r="955" spans="1:23" ht="10.9" customHeight="1">
      <c r="A955" s="1574" t="s">
        <v>1322</v>
      </c>
      <c r="B955" s="1574"/>
      <c r="C955" s="1574" t="s">
        <v>3315</v>
      </c>
      <c r="D955" s="1574"/>
      <c r="E955" s="1574"/>
      <c r="F955" s="1574" t="s">
        <v>3303</v>
      </c>
      <c r="G955" s="1574"/>
      <c r="H955" s="1574"/>
      <c r="I955" s="1574"/>
      <c r="J955" s="1412">
        <v>45816.25</v>
      </c>
      <c r="K955" s="1412">
        <v>0</v>
      </c>
      <c r="L955" s="1412">
        <v>2586.8000000000002</v>
      </c>
      <c r="M955" s="1575">
        <v>0</v>
      </c>
      <c r="N955" s="1575"/>
      <c r="O955" s="1575">
        <v>48403.05</v>
      </c>
      <c r="P955" s="1575"/>
      <c r="Q955" s="1575">
        <v>0</v>
      </c>
      <c r="R955" s="1575"/>
      <c r="S955" s="1575"/>
      <c r="T955" s="1575"/>
      <c r="U955" s="1575"/>
    </row>
    <row r="956" spans="1:23" ht="19.149999999999999" customHeight="1">
      <c r="A956" s="1574" t="s">
        <v>1322</v>
      </c>
      <c r="B956" s="1574"/>
      <c r="C956" s="1574" t="s">
        <v>6669</v>
      </c>
      <c r="D956" s="1574"/>
      <c r="E956" s="1574"/>
      <c r="F956" s="1574" t="s">
        <v>6670</v>
      </c>
      <c r="G956" s="1574"/>
      <c r="H956" s="1574"/>
      <c r="I956" s="1574"/>
      <c r="J956" s="1412">
        <v>833.18</v>
      </c>
      <c r="K956" s="1412">
        <v>0</v>
      </c>
      <c r="L956" s="1412">
        <v>0</v>
      </c>
      <c r="M956" s="1575">
        <v>0</v>
      </c>
      <c r="N956" s="1575"/>
      <c r="O956" s="1575">
        <v>833.18</v>
      </c>
      <c r="P956" s="1575"/>
      <c r="Q956" s="1575">
        <v>0</v>
      </c>
      <c r="R956" s="1575"/>
      <c r="S956" s="1575"/>
      <c r="T956" s="1575"/>
      <c r="U956" s="1575"/>
    </row>
    <row r="957" spans="1:23" ht="10.9" customHeight="1">
      <c r="A957" s="1574" t="s">
        <v>1322</v>
      </c>
      <c r="B957" s="1574"/>
      <c r="C957" s="1574" t="s">
        <v>6671</v>
      </c>
      <c r="D957" s="1574"/>
      <c r="E957" s="1574"/>
      <c r="F957" s="1574" t="s">
        <v>6668</v>
      </c>
      <c r="G957" s="1574"/>
      <c r="H957" s="1574"/>
      <c r="I957" s="1574"/>
      <c r="J957" s="1412">
        <v>833.18</v>
      </c>
      <c r="K957" s="1412">
        <v>0</v>
      </c>
      <c r="L957" s="1412">
        <v>0</v>
      </c>
      <c r="M957" s="1575">
        <v>0</v>
      </c>
      <c r="N957" s="1575"/>
      <c r="O957" s="1575">
        <v>833.18</v>
      </c>
      <c r="P957" s="1575"/>
      <c r="Q957" s="1575">
        <v>0</v>
      </c>
      <c r="R957" s="1575"/>
      <c r="S957" s="1575"/>
      <c r="T957" s="1575"/>
      <c r="U957" s="1575"/>
    </row>
    <row r="958" spans="1:23" ht="10.9" customHeight="1">
      <c r="A958" s="1574" t="s">
        <v>1322</v>
      </c>
      <c r="B958" s="1574"/>
      <c r="C958" s="1574" t="s">
        <v>1653</v>
      </c>
      <c r="D958" s="1574"/>
      <c r="E958" s="1574"/>
      <c r="F958" s="1574" t="s">
        <v>1654</v>
      </c>
      <c r="G958" s="1574"/>
      <c r="H958" s="1574"/>
      <c r="I958" s="1574"/>
      <c r="J958" s="1412">
        <v>518060.82</v>
      </c>
      <c r="K958" s="1412">
        <v>0</v>
      </c>
      <c r="L958" s="1412">
        <v>56485.22</v>
      </c>
      <c r="M958" s="1575">
        <v>0</v>
      </c>
      <c r="N958" s="1575"/>
      <c r="O958" s="1575">
        <v>574546.04</v>
      </c>
      <c r="P958" s="1575"/>
      <c r="Q958" s="1575">
        <v>0</v>
      </c>
      <c r="R958" s="1575"/>
      <c r="S958" s="1575"/>
      <c r="T958" s="1575"/>
      <c r="U958" s="1575"/>
    </row>
    <row r="959" spans="1:23" ht="10.9" customHeight="1">
      <c r="A959" s="1574" t="s">
        <v>1322</v>
      </c>
      <c r="B959" s="1574"/>
      <c r="C959" s="1574" t="s">
        <v>2343</v>
      </c>
      <c r="D959" s="1574"/>
      <c r="E959" s="1574"/>
      <c r="F959" s="1574" t="s">
        <v>1690</v>
      </c>
      <c r="G959" s="1574"/>
      <c r="H959" s="1574"/>
      <c r="I959" s="1574"/>
      <c r="J959" s="1412">
        <v>518060.82</v>
      </c>
      <c r="K959" s="1412">
        <v>0</v>
      </c>
      <c r="L959" s="1412">
        <v>56485.22</v>
      </c>
      <c r="M959" s="1575">
        <v>0</v>
      </c>
      <c r="N959" s="1575"/>
      <c r="O959" s="1575">
        <v>574546.04</v>
      </c>
      <c r="P959" s="1575"/>
      <c r="Q959" s="1575">
        <v>0</v>
      </c>
      <c r="R959" s="1575"/>
      <c r="S959" s="1575"/>
      <c r="T959" s="1575"/>
      <c r="U959" s="1575"/>
    </row>
    <row r="960" spans="1:23" ht="14.25" customHeight="1">
      <c r="S960" s="1573" t="s">
        <v>2555</v>
      </c>
      <c r="T960" s="1573"/>
      <c r="U960" s="1573"/>
      <c r="V960" s="1573"/>
      <c r="W960" s="1573"/>
    </row>
    <row r="961" spans="1:23" ht="7.15" customHeight="1">
      <c r="C961" s="1586" t="s">
        <v>2987</v>
      </c>
      <c r="D961" s="1586"/>
      <c r="E961" s="1586"/>
      <c r="F961" s="1586"/>
      <c r="G961" s="1586"/>
      <c r="H961" s="1586"/>
      <c r="I961" s="1586"/>
      <c r="J961" s="1586"/>
      <c r="K961" s="1586"/>
      <c r="L961" s="1586"/>
      <c r="M961" s="1586"/>
      <c r="N961" s="1586"/>
      <c r="O961" s="1586"/>
      <c r="P961" s="1586"/>
      <c r="Q961" s="1586"/>
      <c r="R961" s="1586"/>
      <c r="S961" s="1586"/>
      <c r="T961" s="1586"/>
    </row>
    <row r="962" spans="1:23" ht="9.6" customHeight="1">
      <c r="A962" s="1587"/>
      <c r="B962" s="1587"/>
      <c r="C962" s="1587"/>
      <c r="D962" s="1587"/>
      <c r="E962" s="1587"/>
      <c r="F962" s="1587"/>
      <c r="G962" s="1586"/>
      <c r="H962" s="1586"/>
      <c r="I962" s="1586"/>
      <c r="J962" s="1586"/>
      <c r="K962" s="1586"/>
      <c r="L962" s="1586"/>
      <c r="M962" s="1586"/>
      <c r="N962" s="1586"/>
      <c r="O962" s="1586"/>
      <c r="P962" s="1586"/>
      <c r="Q962" s="1586"/>
      <c r="R962" s="1586"/>
      <c r="S962" s="1586"/>
      <c r="T962" s="1586"/>
    </row>
    <row r="963" spans="1:23" ht="13.35" customHeight="1">
      <c r="A963" s="1587"/>
      <c r="B963" s="1587"/>
      <c r="C963" s="1587"/>
      <c r="D963" s="1587"/>
      <c r="E963" s="1587"/>
      <c r="F963" s="1587"/>
      <c r="G963" s="1588" t="s">
        <v>79</v>
      </c>
      <c r="H963" s="1588"/>
      <c r="I963" s="1588"/>
      <c r="J963" s="1588"/>
      <c r="K963" s="1588"/>
      <c r="L963" s="1588"/>
      <c r="M963" s="1588"/>
      <c r="N963" s="1588"/>
      <c r="O963" s="1588"/>
      <c r="P963" s="1588"/>
      <c r="Q963" s="1588"/>
      <c r="R963" s="1588"/>
    </row>
    <row r="964" spans="1:23" ht="5.25" customHeight="1">
      <c r="A964" s="1587"/>
      <c r="B964" s="1587"/>
      <c r="C964" s="1587"/>
      <c r="D964" s="1587"/>
      <c r="E964" s="1587"/>
      <c r="F964" s="1587"/>
      <c r="G964" s="1581" t="s">
        <v>7015</v>
      </c>
      <c r="H964" s="1581"/>
      <c r="I964" s="1581"/>
      <c r="J964" s="1581"/>
      <c r="K964" s="1581"/>
      <c r="L964" s="1581"/>
      <c r="M964" s="1581"/>
      <c r="N964" s="1581"/>
      <c r="O964" s="1581"/>
      <c r="P964" s="1581"/>
      <c r="Q964" s="1581"/>
    </row>
    <row r="965" spans="1:23" ht="8.1" customHeight="1">
      <c r="B965" s="1580" t="s">
        <v>1916</v>
      </c>
      <c r="C965" s="1580"/>
      <c r="D965" s="1580"/>
      <c r="E965" s="1580"/>
      <c r="F965" s="1580"/>
      <c r="G965" s="1580"/>
      <c r="H965" s="1581"/>
      <c r="I965" s="1581"/>
      <c r="J965" s="1581"/>
      <c r="K965" s="1581"/>
      <c r="L965" s="1581"/>
      <c r="M965" s="1581"/>
      <c r="N965" s="1582" t="s">
        <v>5619</v>
      </c>
      <c r="O965" s="1582"/>
      <c r="P965" s="1582"/>
      <c r="Q965" s="1582"/>
      <c r="R965" s="1582"/>
      <c r="S965" s="1582"/>
      <c r="T965" s="1583" t="s">
        <v>7016</v>
      </c>
      <c r="U965" s="1583"/>
      <c r="V965" s="1583"/>
      <c r="W965" s="1583"/>
    </row>
    <row r="966" spans="1:23" ht="6" customHeight="1">
      <c r="B966" s="1580"/>
      <c r="C966" s="1580"/>
      <c r="D966" s="1580"/>
      <c r="E966" s="1580"/>
      <c r="F966" s="1580"/>
      <c r="G966" s="1580"/>
      <c r="H966" s="1584" t="s">
        <v>7017</v>
      </c>
      <c r="I966" s="1584"/>
      <c r="J966" s="1584"/>
      <c r="K966" s="1584"/>
      <c r="L966" s="1584"/>
      <c r="M966" s="1584"/>
      <c r="N966" s="1582"/>
      <c r="O966" s="1582"/>
      <c r="P966" s="1582"/>
      <c r="Q966" s="1582"/>
      <c r="R966" s="1582"/>
      <c r="S966" s="1582"/>
      <c r="T966" s="1583"/>
      <c r="U966" s="1583"/>
      <c r="V966" s="1583"/>
      <c r="W966" s="1583"/>
    </row>
    <row r="967" spans="1:23" ht="7.35" customHeight="1">
      <c r="B967" s="1580" t="s">
        <v>1994</v>
      </c>
      <c r="C967" s="1580"/>
      <c r="D967" s="1580"/>
      <c r="E967" s="1585"/>
      <c r="F967" s="1585"/>
      <c r="G967" s="1585"/>
      <c r="H967" s="1585"/>
      <c r="I967" s="1585"/>
      <c r="J967" s="1585"/>
      <c r="K967" s="1585"/>
      <c r="L967" s="1585"/>
      <c r="M967" s="1585"/>
      <c r="N967" s="1585"/>
      <c r="O967" s="1585"/>
      <c r="P967" s="1585"/>
      <c r="Q967" s="1585"/>
      <c r="R967" s="1582"/>
      <c r="S967" s="1582"/>
      <c r="T967" s="1582" t="s">
        <v>7018</v>
      </c>
      <c r="U967" s="1582"/>
    </row>
    <row r="968" spans="1:23" ht="6.75" customHeight="1">
      <c r="E968" s="1585"/>
      <c r="F968" s="1585"/>
      <c r="G968" s="1585"/>
      <c r="H968" s="1585"/>
      <c r="I968" s="1585"/>
      <c r="J968" s="1585"/>
      <c r="K968" s="1585"/>
      <c r="L968" s="1585"/>
      <c r="M968" s="1585"/>
      <c r="N968" s="1585"/>
      <c r="O968" s="1585"/>
      <c r="P968" s="1585"/>
      <c r="Q968" s="1585"/>
      <c r="R968" s="1582"/>
      <c r="S968" s="1582"/>
      <c r="T968" s="1582"/>
      <c r="U968" s="1582"/>
    </row>
    <row r="969" spans="1:23" ht="10.9" customHeight="1">
      <c r="A969" s="1576"/>
      <c r="B969" s="1576"/>
      <c r="C969" s="1576"/>
      <c r="D969" s="1576"/>
      <c r="E969" s="1576"/>
      <c r="F969" s="1576"/>
      <c r="G969" s="1576"/>
      <c r="H969" s="1576"/>
      <c r="I969" s="1576"/>
      <c r="J969" s="1577" t="s">
        <v>1314</v>
      </c>
      <c r="K969" s="1577"/>
      <c r="L969" s="1577" t="s">
        <v>1315</v>
      </c>
      <c r="M969" s="1577"/>
      <c r="N969" s="1577"/>
      <c r="O969" s="1577" t="s">
        <v>1316</v>
      </c>
      <c r="P969" s="1577"/>
      <c r="Q969" s="1577"/>
      <c r="R969" s="1577"/>
      <c r="S969" s="1577"/>
      <c r="T969" s="1577"/>
      <c r="U969" s="1577"/>
    </row>
    <row r="970" spans="1:23" ht="14.1" customHeight="1">
      <c r="A970" s="1578" t="s">
        <v>1317</v>
      </c>
      <c r="B970" s="1578"/>
      <c r="C970" s="1578" t="s">
        <v>1318</v>
      </c>
      <c r="D970" s="1578"/>
      <c r="E970" s="1578"/>
      <c r="F970" s="1578" t="s">
        <v>1319</v>
      </c>
      <c r="G970" s="1578"/>
      <c r="H970" s="1578"/>
      <c r="I970" s="1578"/>
      <c r="J970" s="1413" t="s">
        <v>1320</v>
      </c>
      <c r="K970" s="1413" t="s">
        <v>1321</v>
      </c>
      <c r="L970" s="1413" t="s">
        <v>1320</v>
      </c>
      <c r="M970" s="1579" t="s">
        <v>1321</v>
      </c>
      <c r="N970" s="1579"/>
      <c r="O970" s="1579" t="s">
        <v>1320</v>
      </c>
      <c r="P970" s="1579"/>
      <c r="Q970" s="1579" t="s">
        <v>1321</v>
      </c>
      <c r="R970" s="1579"/>
      <c r="S970" s="1579"/>
      <c r="T970" s="1579"/>
      <c r="U970" s="1579"/>
    </row>
    <row r="971" spans="1:23" ht="14.1" customHeight="1">
      <c r="A971" s="1574" t="s">
        <v>1322</v>
      </c>
      <c r="B971" s="1574"/>
      <c r="C971" s="1574" t="s">
        <v>2344</v>
      </c>
      <c r="D971" s="1574"/>
      <c r="E971" s="1574"/>
      <c r="F971" s="1574" t="s">
        <v>147</v>
      </c>
      <c r="G971" s="1574"/>
      <c r="H971" s="1574"/>
      <c r="I971" s="1574"/>
      <c r="J971" s="1412">
        <v>29728559.879999999</v>
      </c>
      <c r="K971" s="1412">
        <v>0</v>
      </c>
      <c r="L971" s="1412">
        <v>5723627.4199999999</v>
      </c>
      <c r="M971" s="1575">
        <v>0</v>
      </c>
      <c r="N971" s="1575"/>
      <c r="O971" s="1575">
        <v>35452187.299999997</v>
      </c>
      <c r="P971" s="1575"/>
      <c r="Q971" s="1575">
        <v>0</v>
      </c>
      <c r="R971" s="1575"/>
      <c r="S971" s="1575"/>
      <c r="T971" s="1575"/>
      <c r="U971" s="1575"/>
    </row>
    <row r="972" spans="1:23" ht="10.9" customHeight="1">
      <c r="A972" s="1574" t="s">
        <v>1322</v>
      </c>
      <c r="B972" s="1574"/>
      <c r="C972" s="1574" t="s">
        <v>1655</v>
      </c>
      <c r="D972" s="1574"/>
      <c r="E972" s="1574"/>
      <c r="F972" s="1574" t="s">
        <v>1656</v>
      </c>
      <c r="G972" s="1574"/>
      <c r="H972" s="1574"/>
      <c r="I972" s="1574"/>
      <c r="J972" s="1412">
        <v>10312236.279999999</v>
      </c>
      <c r="K972" s="1412">
        <v>0</v>
      </c>
      <c r="L972" s="1412">
        <v>2248580.85</v>
      </c>
      <c r="M972" s="1575">
        <v>0</v>
      </c>
      <c r="N972" s="1575"/>
      <c r="O972" s="1575">
        <v>12560817.130000001</v>
      </c>
      <c r="P972" s="1575"/>
      <c r="Q972" s="1575">
        <v>0</v>
      </c>
      <c r="R972" s="1575"/>
      <c r="S972" s="1575"/>
      <c r="T972" s="1575"/>
      <c r="U972" s="1575"/>
    </row>
    <row r="973" spans="1:23" ht="10.9" customHeight="1">
      <c r="A973" s="1574" t="s">
        <v>1322</v>
      </c>
      <c r="B973" s="1574"/>
      <c r="C973" s="1574" t="s">
        <v>2346</v>
      </c>
      <c r="D973" s="1574"/>
      <c r="E973" s="1574"/>
      <c r="F973" s="1574" t="s">
        <v>2242</v>
      </c>
      <c r="G973" s="1574"/>
      <c r="H973" s="1574"/>
      <c r="I973" s="1574"/>
      <c r="J973" s="1412">
        <v>6351941.4199999999</v>
      </c>
      <c r="K973" s="1412">
        <v>0</v>
      </c>
      <c r="L973" s="1412">
        <v>1057485.71</v>
      </c>
      <c r="M973" s="1575">
        <v>0</v>
      </c>
      <c r="N973" s="1575"/>
      <c r="O973" s="1575">
        <v>7409427.1299999999</v>
      </c>
      <c r="P973" s="1575"/>
      <c r="Q973" s="1575">
        <v>0</v>
      </c>
      <c r="R973" s="1575"/>
      <c r="S973" s="1575"/>
      <c r="T973" s="1575"/>
      <c r="U973" s="1575"/>
    </row>
    <row r="974" spans="1:23" ht="10.9" customHeight="1">
      <c r="A974" s="1574" t="s">
        <v>1322</v>
      </c>
      <c r="B974" s="1574"/>
      <c r="C974" s="1574" t="s">
        <v>5807</v>
      </c>
      <c r="D974" s="1574"/>
      <c r="E974" s="1574"/>
      <c r="F974" s="1574" t="s">
        <v>5795</v>
      </c>
      <c r="G974" s="1574"/>
      <c r="H974" s="1574"/>
      <c r="I974" s="1574"/>
      <c r="J974" s="1412">
        <v>14007</v>
      </c>
      <c r="K974" s="1412">
        <v>0</v>
      </c>
      <c r="L974" s="1412">
        <v>4793.03</v>
      </c>
      <c r="M974" s="1575">
        <v>0</v>
      </c>
      <c r="N974" s="1575"/>
      <c r="O974" s="1575">
        <v>18800.03</v>
      </c>
      <c r="P974" s="1575"/>
      <c r="Q974" s="1575">
        <v>0</v>
      </c>
      <c r="R974" s="1575"/>
      <c r="S974" s="1575"/>
      <c r="T974" s="1575"/>
      <c r="U974" s="1575"/>
    </row>
    <row r="975" spans="1:23" ht="10.9" customHeight="1">
      <c r="A975" s="1574" t="s">
        <v>1322</v>
      </c>
      <c r="B975" s="1574"/>
      <c r="C975" s="1574" t="s">
        <v>2347</v>
      </c>
      <c r="D975" s="1574"/>
      <c r="E975" s="1574"/>
      <c r="F975" s="1574" t="s">
        <v>246</v>
      </c>
      <c r="G975" s="1574"/>
      <c r="H975" s="1574"/>
      <c r="I975" s="1574"/>
      <c r="J975" s="1412">
        <v>3718858.02</v>
      </c>
      <c r="K975" s="1412">
        <v>0</v>
      </c>
      <c r="L975" s="1412">
        <v>1112102.33</v>
      </c>
      <c r="M975" s="1575">
        <v>0</v>
      </c>
      <c r="N975" s="1575"/>
      <c r="O975" s="1575">
        <v>4830960.3499999996</v>
      </c>
      <c r="P975" s="1575"/>
      <c r="Q975" s="1575">
        <v>0</v>
      </c>
      <c r="R975" s="1575"/>
      <c r="S975" s="1575"/>
      <c r="T975" s="1575"/>
      <c r="U975" s="1575"/>
    </row>
    <row r="976" spans="1:23" ht="10.9" customHeight="1">
      <c r="A976" s="1574" t="s">
        <v>1322</v>
      </c>
      <c r="B976" s="1574"/>
      <c r="C976" s="1574" t="s">
        <v>3316</v>
      </c>
      <c r="D976" s="1574"/>
      <c r="E976" s="1574"/>
      <c r="F976" s="1574" t="s">
        <v>3305</v>
      </c>
      <c r="G976" s="1574"/>
      <c r="H976" s="1574"/>
      <c r="I976" s="1574"/>
      <c r="J976" s="1412">
        <v>222882.4</v>
      </c>
      <c r="K976" s="1412">
        <v>0</v>
      </c>
      <c r="L976" s="1412">
        <v>74199.78</v>
      </c>
      <c r="M976" s="1575">
        <v>0</v>
      </c>
      <c r="N976" s="1575"/>
      <c r="O976" s="1575">
        <v>297082.18</v>
      </c>
      <c r="P976" s="1575"/>
      <c r="Q976" s="1575">
        <v>0</v>
      </c>
      <c r="R976" s="1575"/>
      <c r="S976" s="1575"/>
      <c r="T976" s="1575"/>
      <c r="U976" s="1575"/>
    </row>
    <row r="977" spans="1:21" ht="10.9" customHeight="1">
      <c r="A977" s="1574" t="s">
        <v>1322</v>
      </c>
      <c r="B977" s="1574"/>
      <c r="C977" s="1574" t="s">
        <v>4023</v>
      </c>
      <c r="D977" s="1574"/>
      <c r="E977" s="1574"/>
      <c r="F977" s="1574" t="s">
        <v>4022</v>
      </c>
      <c r="G977" s="1574"/>
      <c r="H977" s="1574"/>
      <c r="I977" s="1574"/>
      <c r="J977" s="1412">
        <v>4547.4399999999996</v>
      </c>
      <c r="K977" s="1412">
        <v>0</v>
      </c>
      <c r="L977" s="1412">
        <v>0</v>
      </c>
      <c r="M977" s="1575">
        <v>0</v>
      </c>
      <c r="N977" s="1575"/>
      <c r="O977" s="1575">
        <v>4547.4399999999996</v>
      </c>
      <c r="P977" s="1575"/>
      <c r="Q977" s="1575">
        <v>0</v>
      </c>
      <c r="R977" s="1575"/>
      <c r="S977" s="1575"/>
      <c r="T977" s="1575"/>
      <c r="U977" s="1575"/>
    </row>
    <row r="978" spans="1:21" ht="10.9" customHeight="1">
      <c r="A978" s="1574" t="s">
        <v>1322</v>
      </c>
      <c r="B978" s="1574"/>
      <c r="C978" s="1574" t="s">
        <v>5808</v>
      </c>
      <c r="D978" s="1574"/>
      <c r="E978" s="1574"/>
      <c r="F978" s="1574" t="s">
        <v>5809</v>
      </c>
      <c r="G978" s="1574"/>
      <c r="H978" s="1574"/>
      <c r="I978" s="1574"/>
      <c r="J978" s="1412">
        <v>33000</v>
      </c>
      <c r="K978" s="1412">
        <v>0</v>
      </c>
      <c r="L978" s="1412">
        <v>3150</v>
      </c>
      <c r="M978" s="1575">
        <v>0</v>
      </c>
      <c r="N978" s="1575"/>
      <c r="O978" s="1575">
        <v>36150</v>
      </c>
      <c r="P978" s="1575"/>
      <c r="Q978" s="1575">
        <v>0</v>
      </c>
      <c r="R978" s="1575"/>
      <c r="S978" s="1575"/>
      <c r="T978" s="1575"/>
      <c r="U978" s="1575"/>
    </row>
    <row r="979" spans="1:21" ht="10.9" customHeight="1">
      <c r="A979" s="1574" t="s">
        <v>1322</v>
      </c>
      <c r="B979" s="1574"/>
      <c r="C979" s="1574" t="s">
        <v>5810</v>
      </c>
      <c r="D979" s="1574"/>
      <c r="E979" s="1574"/>
      <c r="F979" s="1574" t="s">
        <v>5797</v>
      </c>
      <c r="G979" s="1574"/>
      <c r="H979" s="1574"/>
      <c r="I979" s="1574"/>
      <c r="J979" s="1412">
        <v>33000</v>
      </c>
      <c r="K979" s="1412">
        <v>0</v>
      </c>
      <c r="L979" s="1412">
        <v>3150</v>
      </c>
      <c r="M979" s="1575">
        <v>0</v>
      </c>
      <c r="N979" s="1575"/>
      <c r="O979" s="1575">
        <v>36150</v>
      </c>
      <c r="P979" s="1575"/>
      <c r="Q979" s="1575">
        <v>0</v>
      </c>
      <c r="R979" s="1575"/>
      <c r="S979" s="1575"/>
      <c r="T979" s="1575"/>
      <c r="U979" s="1575"/>
    </row>
    <row r="980" spans="1:21" ht="19.149999999999999" customHeight="1">
      <c r="A980" s="1574" t="s">
        <v>1322</v>
      </c>
      <c r="B980" s="1574"/>
      <c r="C980" s="1574" t="s">
        <v>1657</v>
      </c>
      <c r="D980" s="1574"/>
      <c r="E980" s="1574"/>
      <c r="F980" s="1574" t="s">
        <v>2348</v>
      </c>
      <c r="G980" s="1574"/>
      <c r="H980" s="1574"/>
      <c r="I980" s="1574"/>
      <c r="J980" s="1412">
        <v>7669411.0199999996</v>
      </c>
      <c r="K980" s="1412">
        <v>0</v>
      </c>
      <c r="L980" s="1412">
        <v>1537157.47</v>
      </c>
      <c r="M980" s="1575">
        <v>0</v>
      </c>
      <c r="N980" s="1575"/>
      <c r="O980" s="1575">
        <v>9206568.4900000002</v>
      </c>
      <c r="P980" s="1575"/>
      <c r="Q980" s="1575">
        <v>0</v>
      </c>
      <c r="R980" s="1575"/>
      <c r="S980" s="1575"/>
      <c r="T980" s="1575"/>
      <c r="U980" s="1575"/>
    </row>
    <row r="981" spans="1:21" ht="10.9" customHeight="1">
      <c r="A981" s="1574" t="s">
        <v>1322</v>
      </c>
      <c r="B981" s="1574"/>
      <c r="C981" s="1574" t="s">
        <v>6198</v>
      </c>
      <c r="D981" s="1574"/>
      <c r="E981" s="1574"/>
      <c r="F981" s="1574" t="s">
        <v>6195</v>
      </c>
      <c r="G981" s="1574"/>
      <c r="H981" s="1574"/>
      <c r="I981" s="1574"/>
      <c r="J981" s="1412">
        <v>125112</v>
      </c>
      <c r="K981" s="1412">
        <v>0</v>
      </c>
      <c r="L981" s="1412">
        <v>0</v>
      </c>
      <c r="M981" s="1575">
        <v>0</v>
      </c>
      <c r="N981" s="1575"/>
      <c r="O981" s="1575">
        <v>125112</v>
      </c>
      <c r="P981" s="1575"/>
      <c r="Q981" s="1575">
        <v>0</v>
      </c>
      <c r="R981" s="1575"/>
      <c r="S981" s="1575"/>
      <c r="T981" s="1575"/>
      <c r="U981" s="1575"/>
    </row>
    <row r="982" spans="1:21" ht="10.9" customHeight="1">
      <c r="A982" s="1574" t="s">
        <v>1322</v>
      </c>
      <c r="B982" s="1574"/>
      <c r="C982" s="1574" t="s">
        <v>2349</v>
      </c>
      <c r="D982" s="1574"/>
      <c r="E982" s="1574"/>
      <c r="F982" s="1574" t="s">
        <v>2244</v>
      </c>
      <c r="G982" s="1574"/>
      <c r="H982" s="1574"/>
      <c r="I982" s="1574"/>
      <c r="J982" s="1412">
        <v>187541.14</v>
      </c>
      <c r="K982" s="1412">
        <v>0</v>
      </c>
      <c r="L982" s="1412">
        <v>20972.55</v>
      </c>
      <c r="M982" s="1575">
        <v>0</v>
      </c>
      <c r="N982" s="1575"/>
      <c r="O982" s="1575">
        <v>208513.69</v>
      </c>
      <c r="P982" s="1575"/>
      <c r="Q982" s="1575">
        <v>0</v>
      </c>
      <c r="R982" s="1575"/>
      <c r="S982" s="1575"/>
      <c r="T982" s="1575"/>
      <c r="U982" s="1575"/>
    </row>
    <row r="983" spans="1:21" ht="10.9" customHeight="1">
      <c r="A983" s="1574" t="s">
        <v>1322</v>
      </c>
      <c r="B983" s="1574"/>
      <c r="C983" s="1574" t="s">
        <v>2350</v>
      </c>
      <c r="D983" s="1574"/>
      <c r="E983" s="1574"/>
      <c r="F983" s="1574" t="s">
        <v>2246</v>
      </c>
      <c r="G983" s="1574"/>
      <c r="H983" s="1574"/>
      <c r="I983" s="1574"/>
      <c r="J983" s="1412">
        <v>26814.720000000001</v>
      </c>
      <c r="K983" s="1412">
        <v>0</v>
      </c>
      <c r="L983" s="1412">
        <v>689.66</v>
      </c>
      <c r="M983" s="1575">
        <v>0</v>
      </c>
      <c r="N983" s="1575"/>
      <c r="O983" s="1575">
        <v>27504.38</v>
      </c>
      <c r="P983" s="1575"/>
      <c r="Q983" s="1575">
        <v>0</v>
      </c>
      <c r="R983" s="1575"/>
      <c r="S983" s="1575"/>
      <c r="T983" s="1575"/>
      <c r="U983" s="1575"/>
    </row>
    <row r="984" spans="1:21" ht="10.9" customHeight="1">
      <c r="A984" s="1574" t="s">
        <v>1322</v>
      </c>
      <c r="B984" s="1574"/>
      <c r="C984" s="1574" t="s">
        <v>3317</v>
      </c>
      <c r="D984" s="1574"/>
      <c r="E984" s="1574"/>
      <c r="F984" s="1574" t="s">
        <v>3307</v>
      </c>
      <c r="G984" s="1574"/>
      <c r="H984" s="1574"/>
      <c r="I984" s="1574"/>
      <c r="J984" s="1412">
        <v>6127267.8600000003</v>
      </c>
      <c r="K984" s="1412">
        <v>0</v>
      </c>
      <c r="L984" s="1412">
        <v>533525.26</v>
      </c>
      <c r="M984" s="1575">
        <v>0</v>
      </c>
      <c r="N984" s="1575"/>
      <c r="O984" s="1575">
        <v>6660793.1200000001</v>
      </c>
      <c r="P984" s="1575"/>
      <c r="Q984" s="1575">
        <v>0</v>
      </c>
      <c r="R984" s="1575"/>
      <c r="S984" s="1575"/>
      <c r="T984" s="1575"/>
      <c r="U984" s="1575"/>
    </row>
    <row r="985" spans="1:21" ht="10.9" customHeight="1">
      <c r="A985" s="1574" t="s">
        <v>1322</v>
      </c>
      <c r="B985" s="1574"/>
      <c r="C985" s="1574" t="s">
        <v>2351</v>
      </c>
      <c r="D985" s="1574"/>
      <c r="E985" s="1574"/>
      <c r="F985" s="1574" t="s">
        <v>2352</v>
      </c>
      <c r="G985" s="1574"/>
      <c r="H985" s="1574"/>
      <c r="I985" s="1574"/>
      <c r="J985" s="1412">
        <v>1202675.3</v>
      </c>
      <c r="K985" s="1412">
        <v>0</v>
      </c>
      <c r="L985" s="1412">
        <v>981970</v>
      </c>
      <c r="M985" s="1575">
        <v>0</v>
      </c>
      <c r="N985" s="1575"/>
      <c r="O985" s="1575">
        <v>2184645.2999999998</v>
      </c>
      <c r="P985" s="1575"/>
      <c r="Q985" s="1575">
        <v>0</v>
      </c>
      <c r="R985" s="1575"/>
      <c r="S985" s="1575"/>
      <c r="T985" s="1575"/>
      <c r="U985" s="1575"/>
    </row>
    <row r="986" spans="1:21" ht="10.9" customHeight="1">
      <c r="A986" s="1574" t="s">
        <v>1322</v>
      </c>
      <c r="B986" s="1574"/>
      <c r="C986" s="1574" t="s">
        <v>1658</v>
      </c>
      <c r="D986" s="1574"/>
      <c r="E986" s="1574"/>
      <c r="F986" s="1574" t="s">
        <v>1659</v>
      </c>
      <c r="G986" s="1574"/>
      <c r="H986" s="1574"/>
      <c r="I986" s="1574"/>
      <c r="J986" s="1412">
        <v>352802.79</v>
      </c>
      <c r="K986" s="1412">
        <v>0</v>
      </c>
      <c r="L986" s="1412">
        <v>34036.129999999997</v>
      </c>
      <c r="M986" s="1575">
        <v>0</v>
      </c>
      <c r="N986" s="1575"/>
      <c r="O986" s="1575">
        <v>386838.92</v>
      </c>
      <c r="P986" s="1575"/>
      <c r="Q986" s="1575">
        <v>0</v>
      </c>
      <c r="R986" s="1575"/>
      <c r="S986" s="1575"/>
      <c r="T986" s="1575"/>
      <c r="U986" s="1575"/>
    </row>
    <row r="987" spans="1:21" ht="10.9" customHeight="1">
      <c r="A987" s="1574" t="s">
        <v>1322</v>
      </c>
      <c r="B987" s="1574"/>
      <c r="C987" s="1574" t="s">
        <v>2353</v>
      </c>
      <c r="D987" s="1574"/>
      <c r="E987" s="1574"/>
      <c r="F987" s="1574" t="s">
        <v>1761</v>
      </c>
      <c r="G987" s="1574"/>
      <c r="H987" s="1574"/>
      <c r="I987" s="1574"/>
      <c r="J987" s="1412">
        <v>38140.449999999997</v>
      </c>
      <c r="K987" s="1412">
        <v>0</v>
      </c>
      <c r="L987" s="1412">
        <v>2925</v>
      </c>
      <c r="M987" s="1575">
        <v>0</v>
      </c>
      <c r="N987" s="1575"/>
      <c r="O987" s="1575">
        <v>41065.449999999997</v>
      </c>
      <c r="P987" s="1575"/>
      <c r="Q987" s="1575">
        <v>0</v>
      </c>
      <c r="R987" s="1575"/>
      <c r="S987" s="1575"/>
      <c r="T987" s="1575"/>
      <c r="U987" s="1575"/>
    </row>
    <row r="988" spans="1:21" ht="10.9" customHeight="1">
      <c r="A988" s="1574" t="s">
        <v>1322</v>
      </c>
      <c r="B988" s="1574"/>
      <c r="C988" s="1574" t="s">
        <v>2354</v>
      </c>
      <c r="D988" s="1574"/>
      <c r="E988" s="1574"/>
      <c r="F988" s="1574" t="s">
        <v>2249</v>
      </c>
      <c r="G988" s="1574"/>
      <c r="H988" s="1574"/>
      <c r="I988" s="1574"/>
      <c r="J988" s="1412">
        <v>310255.57</v>
      </c>
      <c r="K988" s="1412">
        <v>0</v>
      </c>
      <c r="L988" s="1412">
        <v>28897.43</v>
      </c>
      <c r="M988" s="1575">
        <v>0</v>
      </c>
      <c r="N988" s="1575"/>
      <c r="O988" s="1575">
        <v>339153</v>
      </c>
      <c r="P988" s="1575"/>
      <c r="Q988" s="1575">
        <v>0</v>
      </c>
      <c r="R988" s="1575"/>
      <c r="S988" s="1575"/>
      <c r="T988" s="1575"/>
      <c r="U988" s="1575"/>
    </row>
    <row r="989" spans="1:21" ht="10.9" customHeight="1">
      <c r="A989" s="1574" t="s">
        <v>1322</v>
      </c>
      <c r="B989" s="1574"/>
      <c r="C989" s="1574" t="s">
        <v>5973</v>
      </c>
      <c r="D989" s="1574"/>
      <c r="E989" s="1574"/>
      <c r="F989" s="1574" t="s">
        <v>5965</v>
      </c>
      <c r="G989" s="1574"/>
      <c r="H989" s="1574"/>
      <c r="I989" s="1574"/>
      <c r="J989" s="1412">
        <v>4406.7700000000004</v>
      </c>
      <c r="K989" s="1412">
        <v>0</v>
      </c>
      <c r="L989" s="1412">
        <v>2213.6999999999998</v>
      </c>
      <c r="M989" s="1575">
        <v>0</v>
      </c>
      <c r="N989" s="1575"/>
      <c r="O989" s="1575">
        <v>6620.47</v>
      </c>
      <c r="P989" s="1575"/>
      <c r="Q989" s="1575">
        <v>0</v>
      </c>
      <c r="R989" s="1575"/>
      <c r="S989" s="1575"/>
      <c r="T989" s="1575"/>
      <c r="U989" s="1575"/>
    </row>
    <row r="990" spans="1:21" ht="19.149999999999999" customHeight="1">
      <c r="A990" s="1574" t="s">
        <v>1322</v>
      </c>
      <c r="B990" s="1574"/>
      <c r="C990" s="1574" t="s">
        <v>1660</v>
      </c>
      <c r="D990" s="1574"/>
      <c r="E990" s="1574"/>
      <c r="F990" s="1574" t="s">
        <v>2355</v>
      </c>
      <c r="G990" s="1574"/>
      <c r="H990" s="1574"/>
      <c r="I990" s="1574"/>
      <c r="J990" s="1412">
        <v>7348146.1500000004</v>
      </c>
      <c r="K990" s="1412">
        <v>0</v>
      </c>
      <c r="L990" s="1412">
        <v>1705383.8</v>
      </c>
      <c r="M990" s="1575">
        <v>0</v>
      </c>
      <c r="N990" s="1575"/>
      <c r="O990" s="1575">
        <v>9053529.9499999993</v>
      </c>
      <c r="P990" s="1575"/>
      <c r="Q990" s="1575">
        <v>0</v>
      </c>
      <c r="R990" s="1575"/>
      <c r="S990" s="1575"/>
      <c r="T990" s="1575"/>
      <c r="U990" s="1575"/>
    </row>
    <row r="991" spans="1:21" ht="10.9" customHeight="1">
      <c r="A991" s="1574" t="s">
        <v>1322</v>
      </c>
      <c r="B991" s="1574"/>
      <c r="C991" s="1574" t="s">
        <v>2356</v>
      </c>
      <c r="D991" s="1574"/>
      <c r="E991" s="1574"/>
      <c r="F991" s="1574" t="s">
        <v>2251</v>
      </c>
      <c r="G991" s="1574"/>
      <c r="H991" s="1574"/>
      <c r="I991" s="1574"/>
      <c r="J991" s="1412">
        <v>5839962.2999999998</v>
      </c>
      <c r="K991" s="1412">
        <v>0</v>
      </c>
      <c r="L991" s="1412">
        <v>1135197.94</v>
      </c>
      <c r="M991" s="1575">
        <v>0</v>
      </c>
      <c r="N991" s="1575"/>
      <c r="O991" s="1575">
        <v>6975160.2400000002</v>
      </c>
      <c r="P991" s="1575"/>
      <c r="Q991" s="1575">
        <v>0</v>
      </c>
      <c r="R991" s="1575"/>
      <c r="S991" s="1575"/>
      <c r="T991" s="1575"/>
      <c r="U991" s="1575"/>
    </row>
    <row r="992" spans="1:21" ht="10.9" customHeight="1">
      <c r="A992" s="1574" t="s">
        <v>1322</v>
      </c>
      <c r="B992" s="1574"/>
      <c r="C992" s="1574" t="s">
        <v>6472</v>
      </c>
      <c r="D992" s="1574"/>
      <c r="E992" s="1574"/>
      <c r="F992" s="1574" t="s">
        <v>6468</v>
      </c>
      <c r="G992" s="1574"/>
      <c r="H992" s="1574"/>
      <c r="I992" s="1574"/>
      <c r="J992" s="1412">
        <v>4000</v>
      </c>
      <c r="K992" s="1412">
        <v>0</v>
      </c>
      <c r="L992" s="1412">
        <v>0</v>
      </c>
      <c r="M992" s="1575">
        <v>0</v>
      </c>
      <c r="N992" s="1575"/>
      <c r="O992" s="1575">
        <v>4000</v>
      </c>
      <c r="P992" s="1575"/>
      <c r="Q992" s="1575">
        <v>0</v>
      </c>
      <c r="R992" s="1575"/>
      <c r="S992" s="1575"/>
      <c r="T992" s="1575"/>
      <c r="U992" s="1575"/>
    </row>
    <row r="993" spans="1:21" ht="10.9" customHeight="1">
      <c r="A993" s="1574" t="s">
        <v>1322</v>
      </c>
      <c r="B993" s="1574"/>
      <c r="C993" s="1574" t="s">
        <v>5811</v>
      </c>
      <c r="D993" s="1574"/>
      <c r="E993" s="1574"/>
      <c r="F993" s="1574" t="s">
        <v>5799</v>
      </c>
      <c r="G993" s="1574"/>
      <c r="H993" s="1574"/>
      <c r="I993" s="1574"/>
      <c r="J993" s="1412">
        <v>119834.42</v>
      </c>
      <c r="K993" s="1412">
        <v>0</v>
      </c>
      <c r="L993" s="1412">
        <v>250</v>
      </c>
      <c r="M993" s="1575">
        <v>0</v>
      </c>
      <c r="N993" s="1575"/>
      <c r="O993" s="1575">
        <v>120084.42</v>
      </c>
      <c r="P993" s="1575"/>
      <c r="Q993" s="1575">
        <v>0</v>
      </c>
      <c r="R993" s="1575"/>
      <c r="S993" s="1575"/>
      <c r="T993" s="1575"/>
      <c r="U993" s="1575"/>
    </row>
    <row r="994" spans="1:21" ht="10.9" customHeight="1">
      <c r="A994" s="1574" t="s">
        <v>1322</v>
      </c>
      <c r="B994" s="1574"/>
      <c r="C994" s="1574" t="s">
        <v>5812</v>
      </c>
      <c r="D994" s="1574"/>
      <c r="E994" s="1574"/>
      <c r="F994" s="1574" t="s">
        <v>5801</v>
      </c>
      <c r="G994" s="1574"/>
      <c r="H994" s="1574"/>
      <c r="I994" s="1574"/>
      <c r="J994" s="1412">
        <v>1264309.18</v>
      </c>
      <c r="K994" s="1412">
        <v>0</v>
      </c>
      <c r="L994" s="1412">
        <v>537845.44999999995</v>
      </c>
      <c r="M994" s="1575">
        <v>0</v>
      </c>
      <c r="N994" s="1575"/>
      <c r="O994" s="1575">
        <v>1802154.63</v>
      </c>
      <c r="P994" s="1575"/>
      <c r="Q994" s="1575">
        <v>0</v>
      </c>
      <c r="R994" s="1575"/>
      <c r="S994" s="1575"/>
      <c r="T994" s="1575"/>
      <c r="U994" s="1575"/>
    </row>
    <row r="995" spans="1:21" ht="10.9" customHeight="1">
      <c r="A995" s="1574" t="s">
        <v>1322</v>
      </c>
      <c r="B995" s="1574"/>
      <c r="C995" s="1574" t="s">
        <v>2357</v>
      </c>
      <c r="D995" s="1574"/>
      <c r="E995" s="1574"/>
      <c r="F995" s="1574" t="s">
        <v>2358</v>
      </c>
      <c r="G995" s="1574"/>
      <c r="H995" s="1574"/>
      <c r="I995" s="1574"/>
      <c r="J995" s="1412">
        <v>120040.25</v>
      </c>
      <c r="K995" s="1412">
        <v>0</v>
      </c>
      <c r="L995" s="1412">
        <v>32090.41</v>
      </c>
      <c r="M995" s="1575">
        <v>0</v>
      </c>
      <c r="N995" s="1575"/>
      <c r="O995" s="1575">
        <v>152130.66</v>
      </c>
      <c r="P995" s="1575"/>
      <c r="Q995" s="1575">
        <v>0</v>
      </c>
      <c r="R995" s="1575"/>
      <c r="S995" s="1575"/>
      <c r="T995" s="1575"/>
      <c r="U995" s="1575"/>
    </row>
    <row r="996" spans="1:21" ht="10.9" customHeight="1">
      <c r="A996" s="1574" t="s">
        <v>1322</v>
      </c>
      <c r="B996" s="1574"/>
      <c r="C996" s="1574" t="s">
        <v>1661</v>
      </c>
      <c r="D996" s="1574"/>
      <c r="E996" s="1574"/>
      <c r="F996" s="1574" t="s">
        <v>1662</v>
      </c>
      <c r="G996" s="1574"/>
      <c r="H996" s="1574"/>
      <c r="I996" s="1574"/>
      <c r="J996" s="1412">
        <v>137925.43</v>
      </c>
      <c r="K996" s="1412">
        <v>0</v>
      </c>
      <c r="L996" s="1412">
        <v>12854.08</v>
      </c>
      <c r="M996" s="1575">
        <v>0</v>
      </c>
      <c r="N996" s="1575"/>
      <c r="O996" s="1575">
        <v>150779.51</v>
      </c>
      <c r="P996" s="1575"/>
      <c r="Q996" s="1575">
        <v>0</v>
      </c>
      <c r="R996" s="1575"/>
      <c r="S996" s="1575"/>
      <c r="T996" s="1575"/>
      <c r="U996" s="1575"/>
    </row>
    <row r="997" spans="1:21" ht="10.9" customHeight="1">
      <c r="A997" s="1574" t="s">
        <v>1322</v>
      </c>
      <c r="B997" s="1574"/>
      <c r="C997" s="1574" t="s">
        <v>2359</v>
      </c>
      <c r="D997" s="1574"/>
      <c r="E997" s="1574"/>
      <c r="F997" s="1574" t="s">
        <v>2253</v>
      </c>
      <c r="G997" s="1574"/>
      <c r="H997" s="1574"/>
      <c r="I997" s="1574"/>
      <c r="J997" s="1412">
        <v>137925.43</v>
      </c>
      <c r="K997" s="1412">
        <v>0</v>
      </c>
      <c r="L997" s="1412">
        <v>12854.08</v>
      </c>
      <c r="M997" s="1575">
        <v>0</v>
      </c>
      <c r="N997" s="1575"/>
      <c r="O997" s="1575">
        <v>150779.51</v>
      </c>
      <c r="P997" s="1575"/>
      <c r="Q997" s="1575">
        <v>0</v>
      </c>
      <c r="R997" s="1575"/>
      <c r="S997" s="1575"/>
      <c r="T997" s="1575"/>
      <c r="U997" s="1575"/>
    </row>
    <row r="998" spans="1:21" ht="10.9" customHeight="1">
      <c r="A998" s="1574" t="s">
        <v>1322</v>
      </c>
      <c r="B998" s="1574"/>
      <c r="C998" s="1574" t="s">
        <v>3113</v>
      </c>
      <c r="D998" s="1574"/>
      <c r="E998" s="1574"/>
      <c r="F998" s="1574" t="s">
        <v>3114</v>
      </c>
      <c r="G998" s="1574"/>
      <c r="H998" s="1574"/>
      <c r="I998" s="1574"/>
      <c r="J998" s="1412">
        <v>644315.02</v>
      </c>
      <c r="K998" s="1412">
        <v>0</v>
      </c>
      <c r="L998" s="1412">
        <v>28218</v>
      </c>
      <c r="M998" s="1575">
        <v>0</v>
      </c>
      <c r="N998" s="1575"/>
      <c r="O998" s="1575">
        <v>672533.02</v>
      </c>
      <c r="P998" s="1575"/>
      <c r="Q998" s="1575">
        <v>0</v>
      </c>
      <c r="R998" s="1575"/>
      <c r="S998" s="1575"/>
      <c r="T998" s="1575"/>
      <c r="U998" s="1575"/>
    </row>
    <row r="999" spans="1:21" ht="10.9" customHeight="1">
      <c r="A999" s="1574" t="s">
        <v>1322</v>
      </c>
      <c r="B999" s="1574"/>
      <c r="C999" s="1574" t="s">
        <v>3115</v>
      </c>
      <c r="D999" s="1574"/>
      <c r="E999" s="1574"/>
      <c r="F999" s="1574" t="s">
        <v>3110</v>
      </c>
      <c r="G999" s="1574"/>
      <c r="H999" s="1574"/>
      <c r="I999" s="1574"/>
      <c r="J999" s="1412">
        <v>585526.41</v>
      </c>
      <c r="K999" s="1412">
        <v>0</v>
      </c>
      <c r="L999" s="1412">
        <v>28218</v>
      </c>
      <c r="M999" s="1575">
        <v>0</v>
      </c>
      <c r="N999" s="1575"/>
      <c r="O999" s="1575">
        <v>613744.41</v>
      </c>
      <c r="P999" s="1575"/>
      <c r="Q999" s="1575">
        <v>0</v>
      </c>
      <c r="R999" s="1575"/>
      <c r="S999" s="1575"/>
      <c r="T999" s="1575"/>
      <c r="U999" s="1575"/>
    </row>
    <row r="1000" spans="1:21" ht="10.9" customHeight="1">
      <c r="A1000" s="1574" t="s">
        <v>1322</v>
      </c>
      <c r="B1000" s="1574"/>
      <c r="C1000" s="1574" t="s">
        <v>5813</v>
      </c>
      <c r="D1000" s="1574"/>
      <c r="E1000" s="1574"/>
      <c r="F1000" s="1574" t="s">
        <v>5803</v>
      </c>
      <c r="G1000" s="1574"/>
      <c r="H1000" s="1574"/>
      <c r="I1000" s="1574"/>
      <c r="J1000" s="1412">
        <v>58788.61</v>
      </c>
      <c r="K1000" s="1412">
        <v>0</v>
      </c>
      <c r="L1000" s="1412">
        <v>0</v>
      </c>
      <c r="M1000" s="1575">
        <v>0</v>
      </c>
      <c r="N1000" s="1575"/>
      <c r="O1000" s="1575">
        <v>58788.61</v>
      </c>
      <c r="P1000" s="1575"/>
      <c r="Q1000" s="1575">
        <v>0</v>
      </c>
      <c r="R1000" s="1575"/>
      <c r="S1000" s="1575"/>
      <c r="T1000" s="1575"/>
      <c r="U1000" s="1575"/>
    </row>
    <row r="1001" spans="1:21" ht="10.9" customHeight="1">
      <c r="A1001" s="1574" t="s">
        <v>1322</v>
      </c>
      <c r="B1001" s="1574"/>
      <c r="C1001" s="1574" t="s">
        <v>1663</v>
      </c>
      <c r="D1001" s="1574"/>
      <c r="E1001" s="1574"/>
      <c r="F1001" s="1574" t="s">
        <v>1664</v>
      </c>
      <c r="G1001" s="1574"/>
      <c r="H1001" s="1574"/>
      <c r="I1001" s="1574"/>
      <c r="J1001" s="1412">
        <v>3230723.19</v>
      </c>
      <c r="K1001" s="1412">
        <v>0</v>
      </c>
      <c r="L1001" s="1412">
        <v>154247.09</v>
      </c>
      <c r="M1001" s="1575">
        <v>0</v>
      </c>
      <c r="N1001" s="1575"/>
      <c r="O1001" s="1575">
        <v>3384970.28</v>
      </c>
      <c r="P1001" s="1575"/>
      <c r="Q1001" s="1575">
        <v>0</v>
      </c>
      <c r="R1001" s="1575"/>
      <c r="S1001" s="1575"/>
      <c r="T1001" s="1575"/>
      <c r="U1001" s="1575"/>
    </row>
    <row r="1002" spans="1:21" ht="10.9" customHeight="1">
      <c r="A1002" s="1574" t="s">
        <v>1322</v>
      </c>
      <c r="B1002" s="1574"/>
      <c r="C1002" s="1574" t="s">
        <v>2360</v>
      </c>
      <c r="D1002" s="1574"/>
      <c r="E1002" s="1574"/>
      <c r="F1002" s="1574" t="s">
        <v>2255</v>
      </c>
      <c r="G1002" s="1574"/>
      <c r="H1002" s="1574"/>
      <c r="I1002" s="1574"/>
      <c r="J1002" s="1412">
        <v>3230723.19</v>
      </c>
      <c r="K1002" s="1412">
        <v>0</v>
      </c>
      <c r="L1002" s="1412">
        <v>154247.09</v>
      </c>
      <c r="M1002" s="1575">
        <v>0</v>
      </c>
      <c r="N1002" s="1575"/>
      <c r="O1002" s="1575">
        <v>3384970.28</v>
      </c>
      <c r="P1002" s="1575"/>
      <c r="Q1002" s="1575">
        <v>0</v>
      </c>
      <c r="R1002" s="1575"/>
      <c r="S1002" s="1575"/>
      <c r="T1002" s="1575"/>
      <c r="U1002" s="1575"/>
    </row>
    <row r="1003" spans="1:21" ht="19.149999999999999" customHeight="1">
      <c r="A1003" s="1574" t="s">
        <v>1322</v>
      </c>
      <c r="B1003" s="1574"/>
      <c r="C1003" s="1574" t="s">
        <v>2361</v>
      </c>
      <c r="D1003" s="1574"/>
      <c r="E1003" s="1574"/>
      <c r="F1003" s="1574" t="s">
        <v>2362</v>
      </c>
      <c r="G1003" s="1574"/>
      <c r="H1003" s="1574"/>
      <c r="I1003" s="1574"/>
      <c r="J1003" s="1412">
        <v>510147.22</v>
      </c>
      <c r="K1003" s="1412">
        <v>0</v>
      </c>
      <c r="L1003" s="1412">
        <v>284067.65999999997</v>
      </c>
      <c r="M1003" s="1575">
        <v>0</v>
      </c>
      <c r="N1003" s="1575"/>
      <c r="O1003" s="1575">
        <v>794214.88</v>
      </c>
      <c r="P1003" s="1575"/>
      <c r="Q1003" s="1575">
        <v>0</v>
      </c>
      <c r="R1003" s="1575"/>
      <c r="S1003" s="1575"/>
      <c r="T1003" s="1575"/>
      <c r="U1003" s="1575"/>
    </row>
    <row r="1004" spans="1:21" ht="19.149999999999999" customHeight="1">
      <c r="A1004" s="1574" t="s">
        <v>1322</v>
      </c>
      <c r="B1004" s="1574"/>
      <c r="C1004" s="1574" t="s">
        <v>2363</v>
      </c>
      <c r="D1004" s="1574"/>
      <c r="E1004" s="1574"/>
      <c r="F1004" s="1574" t="s">
        <v>2364</v>
      </c>
      <c r="G1004" s="1574"/>
      <c r="H1004" s="1574"/>
      <c r="I1004" s="1574"/>
      <c r="J1004" s="1412">
        <v>139041.07999999999</v>
      </c>
      <c r="K1004" s="1412">
        <v>0</v>
      </c>
      <c r="L1004" s="1412">
        <v>10510.74</v>
      </c>
      <c r="M1004" s="1575">
        <v>0</v>
      </c>
      <c r="N1004" s="1575"/>
      <c r="O1004" s="1575">
        <v>149551.82</v>
      </c>
      <c r="P1004" s="1575"/>
      <c r="Q1004" s="1575">
        <v>0</v>
      </c>
      <c r="R1004" s="1575"/>
      <c r="S1004" s="1575"/>
      <c r="T1004" s="1575"/>
      <c r="U1004" s="1575"/>
    </row>
    <row r="1005" spans="1:21" ht="10.9" customHeight="1">
      <c r="A1005" s="1574" t="s">
        <v>1322</v>
      </c>
      <c r="B1005" s="1574"/>
      <c r="C1005" s="1574" t="s">
        <v>2365</v>
      </c>
      <c r="D1005" s="1574"/>
      <c r="E1005" s="1574"/>
      <c r="F1005" s="1574" t="s">
        <v>2366</v>
      </c>
      <c r="G1005" s="1574"/>
      <c r="H1005" s="1574"/>
      <c r="I1005" s="1574"/>
      <c r="J1005" s="1412">
        <v>139041.07999999999</v>
      </c>
      <c r="K1005" s="1412">
        <v>0</v>
      </c>
      <c r="L1005" s="1412">
        <v>10510.74</v>
      </c>
      <c r="M1005" s="1575">
        <v>0</v>
      </c>
      <c r="N1005" s="1575"/>
      <c r="O1005" s="1575">
        <v>149551.82</v>
      </c>
      <c r="P1005" s="1575"/>
      <c r="Q1005" s="1575">
        <v>0</v>
      </c>
      <c r="R1005" s="1575"/>
      <c r="S1005" s="1575"/>
      <c r="T1005" s="1575"/>
      <c r="U1005" s="1575"/>
    </row>
    <row r="1006" spans="1:21" ht="10.9" customHeight="1">
      <c r="A1006" s="1574" t="s">
        <v>1322</v>
      </c>
      <c r="B1006" s="1574"/>
      <c r="C1006" s="1574" t="s">
        <v>2367</v>
      </c>
      <c r="D1006" s="1574"/>
      <c r="E1006" s="1574"/>
      <c r="F1006" s="1574" t="s">
        <v>2259</v>
      </c>
      <c r="G1006" s="1574"/>
      <c r="H1006" s="1574"/>
      <c r="I1006" s="1574"/>
      <c r="J1006" s="1412">
        <v>139041.07999999999</v>
      </c>
      <c r="K1006" s="1412">
        <v>0</v>
      </c>
      <c r="L1006" s="1412">
        <v>10510.74</v>
      </c>
      <c r="M1006" s="1575">
        <v>0</v>
      </c>
      <c r="N1006" s="1575"/>
      <c r="O1006" s="1575">
        <v>149551.82</v>
      </c>
      <c r="P1006" s="1575"/>
      <c r="Q1006" s="1575">
        <v>0</v>
      </c>
      <c r="R1006" s="1575"/>
      <c r="S1006" s="1575"/>
      <c r="T1006" s="1575"/>
      <c r="U1006" s="1575"/>
    </row>
    <row r="1007" spans="1:21" ht="10.9" customHeight="1">
      <c r="A1007" s="1574" t="s">
        <v>1322</v>
      </c>
      <c r="B1007" s="1574"/>
      <c r="C1007" s="1574" t="s">
        <v>2368</v>
      </c>
      <c r="D1007" s="1574"/>
      <c r="E1007" s="1574"/>
      <c r="F1007" s="1574" t="s">
        <v>2369</v>
      </c>
      <c r="G1007" s="1574"/>
      <c r="H1007" s="1574"/>
      <c r="I1007" s="1574"/>
      <c r="J1007" s="1412">
        <v>371106.14</v>
      </c>
      <c r="K1007" s="1412">
        <v>0</v>
      </c>
      <c r="L1007" s="1412">
        <v>273556.92</v>
      </c>
      <c r="M1007" s="1575">
        <v>0</v>
      </c>
      <c r="N1007" s="1575"/>
      <c r="O1007" s="1575">
        <v>644663.06000000006</v>
      </c>
      <c r="P1007" s="1575"/>
      <c r="Q1007" s="1575">
        <v>0</v>
      </c>
      <c r="R1007" s="1575"/>
      <c r="S1007" s="1575"/>
      <c r="T1007" s="1575"/>
      <c r="U1007" s="1575"/>
    </row>
    <row r="1008" spans="1:21" ht="10.9" customHeight="1">
      <c r="A1008" s="1574" t="s">
        <v>1322</v>
      </c>
      <c r="B1008" s="1574"/>
      <c r="C1008" s="1574" t="s">
        <v>2370</v>
      </c>
      <c r="D1008" s="1574"/>
      <c r="E1008" s="1574"/>
      <c r="F1008" s="1574" t="s">
        <v>2371</v>
      </c>
      <c r="G1008" s="1574"/>
      <c r="H1008" s="1574"/>
      <c r="I1008" s="1574"/>
      <c r="J1008" s="1412">
        <v>251515.05</v>
      </c>
      <c r="K1008" s="1412">
        <v>0</v>
      </c>
      <c r="L1008" s="1412">
        <v>133763.01</v>
      </c>
      <c r="M1008" s="1575">
        <v>0</v>
      </c>
      <c r="N1008" s="1575"/>
      <c r="O1008" s="1575">
        <v>385278.06</v>
      </c>
      <c r="P1008" s="1575"/>
      <c r="Q1008" s="1575">
        <v>0</v>
      </c>
      <c r="R1008" s="1575"/>
      <c r="S1008" s="1575"/>
      <c r="T1008" s="1575"/>
      <c r="U1008" s="1575"/>
    </row>
    <row r="1009" spans="1:23" ht="14.25" customHeight="1">
      <c r="S1009" s="1573" t="s">
        <v>2594</v>
      </c>
      <c r="T1009" s="1573"/>
      <c r="U1009" s="1573"/>
      <c r="V1009" s="1573"/>
      <c r="W1009" s="1573"/>
    </row>
    <row r="1010" spans="1:23" ht="7.15" customHeight="1">
      <c r="C1010" s="1586" t="s">
        <v>2987</v>
      </c>
      <c r="D1010" s="1586"/>
      <c r="E1010" s="1586"/>
      <c r="F1010" s="1586"/>
      <c r="G1010" s="1586"/>
      <c r="H1010" s="1586"/>
      <c r="I1010" s="1586"/>
      <c r="J1010" s="1586"/>
      <c r="K1010" s="1586"/>
      <c r="L1010" s="1586"/>
      <c r="M1010" s="1586"/>
      <c r="N1010" s="1586"/>
      <c r="O1010" s="1586"/>
      <c r="P1010" s="1586"/>
      <c r="Q1010" s="1586"/>
      <c r="R1010" s="1586"/>
      <c r="S1010" s="1586"/>
      <c r="T1010" s="1586"/>
    </row>
    <row r="1011" spans="1:23" ht="9.6" customHeight="1">
      <c r="A1011" s="1587"/>
      <c r="B1011" s="1587"/>
      <c r="C1011" s="1587"/>
      <c r="D1011" s="1587"/>
      <c r="E1011" s="1587"/>
      <c r="F1011" s="1587"/>
      <c r="G1011" s="1586"/>
      <c r="H1011" s="1586"/>
      <c r="I1011" s="1586"/>
      <c r="J1011" s="1586"/>
      <c r="K1011" s="1586"/>
      <c r="L1011" s="1586"/>
      <c r="M1011" s="1586"/>
      <c r="N1011" s="1586"/>
      <c r="O1011" s="1586"/>
      <c r="P1011" s="1586"/>
      <c r="Q1011" s="1586"/>
      <c r="R1011" s="1586"/>
      <c r="S1011" s="1586"/>
      <c r="T1011" s="1586"/>
    </row>
    <row r="1012" spans="1:23" ht="13.35" customHeight="1">
      <c r="A1012" s="1587"/>
      <c r="B1012" s="1587"/>
      <c r="C1012" s="1587"/>
      <c r="D1012" s="1587"/>
      <c r="E1012" s="1587"/>
      <c r="F1012" s="1587"/>
      <c r="G1012" s="1588" t="s">
        <v>79</v>
      </c>
      <c r="H1012" s="1588"/>
      <c r="I1012" s="1588"/>
      <c r="J1012" s="1588"/>
      <c r="K1012" s="1588"/>
      <c r="L1012" s="1588"/>
      <c r="M1012" s="1588"/>
      <c r="N1012" s="1588"/>
      <c r="O1012" s="1588"/>
      <c r="P1012" s="1588"/>
      <c r="Q1012" s="1588"/>
      <c r="R1012" s="1588"/>
    </row>
    <row r="1013" spans="1:23" ht="5.25" customHeight="1">
      <c r="A1013" s="1587"/>
      <c r="B1013" s="1587"/>
      <c r="C1013" s="1587"/>
      <c r="D1013" s="1587"/>
      <c r="E1013" s="1587"/>
      <c r="F1013" s="1587"/>
      <c r="G1013" s="1581" t="s">
        <v>7015</v>
      </c>
      <c r="H1013" s="1581"/>
      <c r="I1013" s="1581"/>
      <c r="J1013" s="1581"/>
      <c r="K1013" s="1581"/>
      <c r="L1013" s="1581"/>
      <c r="M1013" s="1581"/>
      <c r="N1013" s="1581"/>
      <c r="O1013" s="1581"/>
      <c r="P1013" s="1581"/>
      <c r="Q1013" s="1581"/>
    </row>
    <row r="1014" spans="1:23" ht="8.1" customHeight="1">
      <c r="B1014" s="1580" t="s">
        <v>1916</v>
      </c>
      <c r="C1014" s="1580"/>
      <c r="D1014" s="1580"/>
      <c r="E1014" s="1580"/>
      <c r="F1014" s="1580"/>
      <c r="G1014" s="1580"/>
      <c r="H1014" s="1581"/>
      <c r="I1014" s="1581"/>
      <c r="J1014" s="1581"/>
      <c r="K1014" s="1581"/>
      <c r="L1014" s="1581"/>
      <c r="M1014" s="1581"/>
      <c r="N1014" s="1582" t="s">
        <v>5619</v>
      </c>
      <c r="O1014" s="1582"/>
      <c r="P1014" s="1582"/>
      <c r="Q1014" s="1582"/>
      <c r="R1014" s="1582"/>
      <c r="S1014" s="1582"/>
      <c r="T1014" s="1583" t="s">
        <v>7016</v>
      </c>
      <c r="U1014" s="1583"/>
      <c r="V1014" s="1583"/>
      <c r="W1014" s="1583"/>
    </row>
    <row r="1015" spans="1:23" ht="6" customHeight="1">
      <c r="B1015" s="1580"/>
      <c r="C1015" s="1580"/>
      <c r="D1015" s="1580"/>
      <c r="E1015" s="1580"/>
      <c r="F1015" s="1580"/>
      <c r="G1015" s="1580"/>
      <c r="H1015" s="1584" t="s">
        <v>7017</v>
      </c>
      <c r="I1015" s="1584"/>
      <c r="J1015" s="1584"/>
      <c r="K1015" s="1584"/>
      <c r="L1015" s="1584"/>
      <c r="M1015" s="1584"/>
      <c r="N1015" s="1582"/>
      <c r="O1015" s="1582"/>
      <c r="P1015" s="1582"/>
      <c r="Q1015" s="1582"/>
      <c r="R1015" s="1582"/>
      <c r="S1015" s="1582"/>
      <c r="T1015" s="1583"/>
      <c r="U1015" s="1583"/>
      <c r="V1015" s="1583"/>
      <c r="W1015" s="1583"/>
    </row>
    <row r="1016" spans="1:23" ht="7.35" customHeight="1">
      <c r="B1016" s="1580" t="s">
        <v>1994</v>
      </c>
      <c r="C1016" s="1580"/>
      <c r="D1016" s="1580"/>
      <c r="E1016" s="1585"/>
      <c r="F1016" s="1585"/>
      <c r="G1016" s="1585"/>
      <c r="H1016" s="1585"/>
      <c r="I1016" s="1585"/>
      <c r="J1016" s="1585"/>
      <c r="K1016" s="1585"/>
      <c r="L1016" s="1585"/>
      <c r="M1016" s="1585"/>
      <c r="N1016" s="1585"/>
      <c r="O1016" s="1585"/>
      <c r="P1016" s="1585"/>
      <c r="Q1016" s="1585"/>
      <c r="R1016" s="1582"/>
      <c r="S1016" s="1582"/>
      <c r="T1016" s="1582" t="s">
        <v>7018</v>
      </c>
      <c r="U1016" s="1582"/>
    </row>
    <row r="1017" spans="1:23" ht="6.75" customHeight="1">
      <c r="E1017" s="1585"/>
      <c r="F1017" s="1585"/>
      <c r="G1017" s="1585"/>
      <c r="H1017" s="1585"/>
      <c r="I1017" s="1585"/>
      <c r="J1017" s="1585"/>
      <c r="K1017" s="1585"/>
      <c r="L1017" s="1585"/>
      <c r="M1017" s="1585"/>
      <c r="N1017" s="1585"/>
      <c r="O1017" s="1585"/>
      <c r="P1017" s="1585"/>
      <c r="Q1017" s="1585"/>
      <c r="R1017" s="1582"/>
      <c r="S1017" s="1582"/>
      <c r="T1017" s="1582"/>
      <c r="U1017" s="1582"/>
    </row>
    <row r="1018" spans="1:23" ht="10.9" customHeight="1">
      <c r="A1018" s="1576"/>
      <c r="B1018" s="1576"/>
      <c r="C1018" s="1576"/>
      <c r="D1018" s="1576"/>
      <c r="E1018" s="1576"/>
      <c r="F1018" s="1576"/>
      <c r="G1018" s="1576"/>
      <c r="H1018" s="1576"/>
      <c r="I1018" s="1576"/>
      <c r="J1018" s="1577" t="s">
        <v>1314</v>
      </c>
      <c r="K1018" s="1577"/>
      <c r="L1018" s="1577" t="s">
        <v>1315</v>
      </c>
      <c r="M1018" s="1577"/>
      <c r="N1018" s="1577"/>
      <c r="O1018" s="1577" t="s">
        <v>1316</v>
      </c>
      <c r="P1018" s="1577"/>
      <c r="Q1018" s="1577"/>
      <c r="R1018" s="1577"/>
      <c r="S1018" s="1577"/>
      <c r="T1018" s="1577"/>
      <c r="U1018" s="1577"/>
    </row>
    <row r="1019" spans="1:23" ht="14.1" customHeight="1">
      <c r="A1019" s="1578" t="s">
        <v>1317</v>
      </c>
      <c r="B1019" s="1578"/>
      <c r="C1019" s="1578" t="s">
        <v>1318</v>
      </c>
      <c r="D1019" s="1578"/>
      <c r="E1019" s="1578"/>
      <c r="F1019" s="1578" t="s">
        <v>1319</v>
      </c>
      <c r="G1019" s="1578"/>
      <c r="H1019" s="1578"/>
      <c r="I1019" s="1578"/>
      <c r="J1019" s="1413" t="s">
        <v>1320</v>
      </c>
      <c r="K1019" s="1413" t="s">
        <v>1321</v>
      </c>
      <c r="L1019" s="1413" t="s">
        <v>1320</v>
      </c>
      <c r="M1019" s="1579" t="s">
        <v>1321</v>
      </c>
      <c r="N1019" s="1579"/>
      <c r="O1019" s="1579" t="s">
        <v>1320</v>
      </c>
      <c r="P1019" s="1579"/>
      <c r="Q1019" s="1579" t="s">
        <v>1321</v>
      </c>
      <c r="R1019" s="1579"/>
      <c r="S1019" s="1579"/>
      <c r="T1019" s="1579"/>
      <c r="U1019" s="1579"/>
    </row>
    <row r="1020" spans="1:23" ht="14.1" customHeight="1">
      <c r="A1020" s="1574" t="s">
        <v>1322</v>
      </c>
      <c r="B1020" s="1574"/>
      <c r="C1020" s="1574" t="s">
        <v>2372</v>
      </c>
      <c r="D1020" s="1574"/>
      <c r="E1020" s="1574"/>
      <c r="F1020" s="1574" t="s">
        <v>2261</v>
      </c>
      <c r="G1020" s="1574"/>
      <c r="H1020" s="1574"/>
      <c r="I1020" s="1574"/>
      <c r="J1020" s="1412">
        <v>251515.05</v>
      </c>
      <c r="K1020" s="1412">
        <v>0</v>
      </c>
      <c r="L1020" s="1412">
        <v>133763.01</v>
      </c>
      <c r="M1020" s="1575">
        <v>0</v>
      </c>
      <c r="N1020" s="1575"/>
      <c r="O1020" s="1575">
        <v>385278.06</v>
      </c>
      <c r="P1020" s="1575"/>
      <c r="Q1020" s="1575">
        <v>0</v>
      </c>
      <c r="R1020" s="1575"/>
      <c r="S1020" s="1575"/>
      <c r="T1020" s="1575"/>
      <c r="U1020" s="1575"/>
    </row>
    <row r="1021" spans="1:23" ht="10.9" customHeight="1">
      <c r="A1021" s="1574" t="s">
        <v>1322</v>
      </c>
      <c r="B1021" s="1574"/>
      <c r="C1021" s="1574" t="s">
        <v>2964</v>
      </c>
      <c r="D1021" s="1574"/>
      <c r="E1021" s="1574"/>
      <c r="F1021" s="1574" t="s">
        <v>2965</v>
      </c>
      <c r="G1021" s="1574"/>
      <c r="H1021" s="1574"/>
      <c r="I1021" s="1574"/>
      <c r="J1021" s="1412">
        <v>119591.09</v>
      </c>
      <c r="K1021" s="1412">
        <v>0</v>
      </c>
      <c r="L1021" s="1412">
        <v>139793.91</v>
      </c>
      <c r="M1021" s="1575">
        <v>0</v>
      </c>
      <c r="N1021" s="1575"/>
      <c r="O1021" s="1575">
        <v>259385</v>
      </c>
      <c r="P1021" s="1575"/>
      <c r="Q1021" s="1575">
        <v>0</v>
      </c>
      <c r="R1021" s="1575"/>
      <c r="S1021" s="1575"/>
      <c r="T1021" s="1575"/>
      <c r="U1021" s="1575"/>
    </row>
    <row r="1022" spans="1:23" ht="10.9" customHeight="1">
      <c r="A1022" s="1574" t="s">
        <v>1322</v>
      </c>
      <c r="B1022" s="1574"/>
      <c r="C1022" s="1574" t="s">
        <v>2966</v>
      </c>
      <c r="D1022" s="1574"/>
      <c r="E1022" s="1574"/>
      <c r="F1022" s="1574" t="s">
        <v>2963</v>
      </c>
      <c r="G1022" s="1574"/>
      <c r="H1022" s="1574"/>
      <c r="I1022" s="1574"/>
      <c r="J1022" s="1412">
        <v>119591.09</v>
      </c>
      <c r="K1022" s="1412">
        <v>0</v>
      </c>
      <c r="L1022" s="1412">
        <v>139793.91</v>
      </c>
      <c r="M1022" s="1575">
        <v>0</v>
      </c>
      <c r="N1022" s="1575"/>
      <c r="O1022" s="1575">
        <v>259385</v>
      </c>
      <c r="P1022" s="1575"/>
      <c r="Q1022" s="1575">
        <v>0</v>
      </c>
      <c r="R1022" s="1575"/>
      <c r="S1022" s="1575"/>
      <c r="T1022" s="1575"/>
      <c r="U1022" s="1575"/>
    </row>
    <row r="1023" spans="1:23" ht="10.9" customHeight="1">
      <c r="A1023" s="1574" t="s">
        <v>1322</v>
      </c>
      <c r="B1023" s="1574"/>
      <c r="C1023" s="1574" t="s">
        <v>2373</v>
      </c>
      <c r="D1023" s="1574"/>
      <c r="E1023" s="1574"/>
      <c r="F1023" s="1574" t="s">
        <v>1851</v>
      </c>
      <c r="G1023" s="1574"/>
      <c r="H1023" s="1574"/>
      <c r="I1023" s="1574"/>
      <c r="J1023" s="1412">
        <v>4691112.75</v>
      </c>
      <c r="K1023" s="1412">
        <v>0</v>
      </c>
      <c r="L1023" s="1412">
        <v>800697.27</v>
      </c>
      <c r="M1023" s="1575">
        <v>0</v>
      </c>
      <c r="N1023" s="1575"/>
      <c r="O1023" s="1575">
        <v>5491810.0199999996</v>
      </c>
      <c r="P1023" s="1575"/>
      <c r="Q1023" s="1575">
        <v>0</v>
      </c>
      <c r="R1023" s="1575"/>
      <c r="S1023" s="1575"/>
      <c r="T1023" s="1575"/>
      <c r="U1023" s="1575"/>
    </row>
    <row r="1024" spans="1:23" ht="19.149999999999999" customHeight="1">
      <c r="A1024" s="1574" t="s">
        <v>1322</v>
      </c>
      <c r="B1024" s="1574"/>
      <c r="C1024" s="1574" t="s">
        <v>2374</v>
      </c>
      <c r="D1024" s="1574"/>
      <c r="E1024" s="1574"/>
      <c r="F1024" s="1574" t="s">
        <v>2375</v>
      </c>
      <c r="G1024" s="1574"/>
      <c r="H1024" s="1574"/>
      <c r="I1024" s="1574"/>
      <c r="J1024" s="1412">
        <v>4516975.6900000004</v>
      </c>
      <c r="K1024" s="1412">
        <v>0</v>
      </c>
      <c r="L1024" s="1412">
        <v>720903.32</v>
      </c>
      <c r="M1024" s="1575">
        <v>0</v>
      </c>
      <c r="N1024" s="1575"/>
      <c r="O1024" s="1575">
        <v>5237879.01</v>
      </c>
      <c r="P1024" s="1575"/>
      <c r="Q1024" s="1575">
        <v>0</v>
      </c>
      <c r="R1024" s="1575"/>
      <c r="S1024" s="1575"/>
      <c r="T1024" s="1575"/>
      <c r="U1024" s="1575"/>
    </row>
    <row r="1025" spans="1:21" ht="10.9" customHeight="1">
      <c r="A1025" s="1574" t="s">
        <v>1322</v>
      </c>
      <c r="B1025" s="1574"/>
      <c r="C1025" s="1574" t="s">
        <v>1665</v>
      </c>
      <c r="D1025" s="1574"/>
      <c r="E1025" s="1574"/>
      <c r="F1025" s="1574" t="s">
        <v>1666</v>
      </c>
      <c r="G1025" s="1574"/>
      <c r="H1025" s="1574"/>
      <c r="I1025" s="1574"/>
      <c r="J1025" s="1412">
        <v>3548176.31</v>
      </c>
      <c r="K1025" s="1412">
        <v>0</v>
      </c>
      <c r="L1025" s="1412">
        <v>631254.56000000006</v>
      </c>
      <c r="M1025" s="1575">
        <v>0</v>
      </c>
      <c r="N1025" s="1575"/>
      <c r="O1025" s="1575">
        <v>4179430.87</v>
      </c>
      <c r="P1025" s="1575"/>
      <c r="Q1025" s="1575">
        <v>0</v>
      </c>
      <c r="R1025" s="1575"/>
      <c r="S1025" s="1575"/>
      <c r="T1025" s="1575"/>
      <c r="U1025" s="1575"/>
    </row>
    <row r="1026" spans="1:21" ht="10.9" customHeight="1">
      <c r="A1026" s="1574" t="s">
        <v>1322</v>
      </c>
      <c r="B1026" s="1574"/>
      <c r="C1026" s="1574" t="s">
        <v>1667</v>
      </c>
      <c r="D1026" s="1574"/>
      <c r="E1026" s="1574"/>
      <c r="F1026" s="1574" t="s">
        <v>2200</v>
      </c>
      <c r="G1026" s="1574"/>
      <c r="H1026" s="1574"/>
      <c r="I1026" s="1574"/>
      <c r="J1026" s="1412">
        <v>3548176.31</v>
      </c>
      <c r="K1026" s="1412">
        <v>0</v>
      </c>
      <c r="L1026" s="1412">
        <v>631254.56000000006</v>
      </c>
      <c r="M1026" s="1575">
        <v>0</v>
      </c>
      <c r="N1026" s="1575"/>
      <c r="O1026" s="1575">
        <v>4179430.87</v>
      </c>
      <c r="P1026" s="1575"/>
      <c r="Q1026" s="1575">
        <v>0</v>
      </c>
      <c r="R1026" s="1575"/>
      <c r="S1026" s="1575"/>
      <c r="T1026" s="1575"/>
      <c r="U1026" s="1575"/>
    </row>
    <row r="1027" spans="1:21" ht="10.9" customHeight="1">
      <c r="A1027" s="1574" t="s">
        <v>1322</v>
      </c>
      <c r="B1027" s="1574"/>
      <c r="C1027" s="1574" t="s">
        <v>1668</v>
      </c>
      <c r="D1027" s="1574"/>
      <c r="E1027" s="1574"/>
      <c r="F1027" s="1574" t="s">
        <v>1669</v>
      </c>
      <c r="G1027" s="1574"/>
      <c r="H1027" s="1574"/>
      <c r="I1027" s="1574"/>
      <c r="J1027" s="1412">
        <v>968799.38</v>
      </c>
      <c r="K1027" s="1412">
        <v>0</v>
      </c>
      <c r="L1027" s="1412">
        <v>89648.76</v>
      </c>
      <c r="M1027" s="1575">
        <v>0</v>
      </c>
      <c r="N1027" s="1575"/>
      <c r="O1027" s="1575">
        <v>1058448.1399999999</v>
      </c>
      <c r="P1027" s="1575"/>
      <c r="Q1027" s="1575">
        <v>0</v>
      </c>
      <c r="R1027" s="1575"/>
      <c r="S1027" s="1575"/>
      <c r="T1027" s="1575"/>
      <c r="U1027" s="1575"/>
    </row>
    <row r="1028" spans="1:21" ht="10.9" customHeight="1">
      <c r="A1028" s="1574" t="s">
        <v>1322</v>
      </c>
      <c r="B1028" s="1574"/>
      <c r="C1028" s="1574" t="s">
        <v>1670</v>
      </c>
      <c r="D1028" s="1574"/>
      <c r="E1028" s="1574"/>
      <c r="F1028" s="1574" t="s">
        <v>2376</v>
      </c>
      <c r="G1028" s="1574"/>
      <c r="H1028" s="1574"/>
      <c r="I1028" s="1574"/>
      <c r="J1028" s="1412">
        <v>31725.41</v>
      </c>
      <c r="K1028" s="1412">
        <v>0</v>
      </c>
      <c r="L1028" s="1412">
        <v>3033.43</v>
      </c>
      <c r="M1028" s="1575">
        <v>0</v>
      </c>
      <c r="N1028" s="1575"/>
      <c r="O1028" s="1575">
        <v>34758.839999999997</v>
      </c>
      <c r="P1028" s="1575"/>
      <c r="Q1028" s="1575">
        <v>0</v>
      </c>
      <c r="R1028" s="1575"/>
      <c r="S1028" s="1575"/>
      <c r="T1028" s="1575"/>
      <c r="U1028" s="1575"/>
    </row>
    <row r="1029" spans="1:21" ht="10.9" customHeight="1">
      <c r="A1029" s="1574" t="s">
        <v>1322</v>
      </c>
      <c r="B1029" s="1574"/>
      <c r="C1029" s="1574" t="s">
        <v>1671</v>
      </c>
      <c r="D1029" s="1574"/>
      <c r="E1029" s="1574"/>
      <c r="F1029" s="1574" t="s">
        <v>2376</v>
      </c>
      <c r="G1029" s="1574"/>
      <c r="H1029" s="1574"/>
      <c r="I1029" s="1574"/>
      <c r="J1029" s="1412">
        <v>350129.44</v>
      </c>
      <c r="K1029" s="1412">
        <v>0</v>
      </c>
      <c r="L1029" s="1412">
        <v>32597.79</v>
      </c>
      <c r="M1029" s="1575">
        <v>0</v>
      </c>
      <c r="N1029" s="1575"/>
      <c r="O1029" s="1575">
        <v>382727.23</v>
      </c>
      <c r="P1029" s="1575"/>
      <c r="Q1029" s="1575">
        <v>0</v>
      </c>
      <c r="R1029" s="1575"/>
      <c r="S1029" s="1575"/>
      <c r="T1029" s="1575"/>
      <c r="U1029" s="1575"/>
    </row>
    <row r="1030" spans="1:21" ht="10.9" customHeight="1">
      <c r="A1030" s="1574" t="s">
        <v>1322</v>
      </c>
      <c r="B1030" s="1574"/>
      <c r="C1030" s="1574" t="s">
        <v>1672</v>
      </c>
      <c r="D1030" s="1574"/>
      <c r="E1030" s="1574"/>
      <c r="F1030" s="1574" t="s">
        <v>2218</v>
      </c>
      <c r="G1030" s="1574"/>
      <c r="H1030" s="1574"/>
      <c r="I1030" s="1574"/>
      <c r="J1030" s="1412">
        <v>352255.7</v>
      </c>
      <c r="K1030" s="1412">
        <v>0</v>
      </c>
      <c r="L1030" s="1412">
        <v>31022.33</v>
      </c>
      <c r="M1030" s="1575">
        <v>0</v>
      </c>
      <c r="N1030" s="1575"/>
      <c r="O1030" s="1575">
        <v>383278.03</v>
      </c>
      <c r="P1030" s="1575"/>
      <c r="Q1030" s="1575">
        <v>0</v>
      </c>
      <c r="R1030" s="1575"/>
      <c r="S1030" s="1575"/>
      <c r="T1030" s="1575"/>
      <c r="U1030" s="1575"/>
    </row>
    <row r="1031" spans="1:21" ht="10.9" customHeight="1">
      <c r="A1031" s="1574" t="s">
        <v>1322</v>
      </c>
      <c r="B1031" s="1574"/>
      <c r="C1031" s="1574" t="s">
        <v>1673</v>
      </c>
      <c r="D1031" s="1574"/>
      <c r="E1031" s="1574"/>
      <c r="F1031" s="1574" t="s">
        <v>2377</v>
      </c>
      <c r="G1031" s="1574"/>
      <c r="H1031" s="1574"/>
      <c r="I1031" s="1574"/>
      <c r="J1031" s="1412">
        <v>234688.83</v>
      </c>
      <c r="K1031" s="1412">
        <v>0</v>
      </c>
      <c r="L1031" s="1412">
        <v>22995.21</v>
      </c>
      <c r="M1031" s="1575">
        <v>0</v>
      </c>
      <c r="N1031" s="1575"/>
      <c r="O1031" s="1575">
        <v>257684.04</v>
      </c>
      <c r="P1031" s="1575"/>
      <c r="Q1031" s="1575">
        <v>0</v>
      </c>
      <c r="R1031" s="1575"/>
      <c r="S1031" s="1575"/>
      <c r="T1031" s="1575"/>
      <c r="U1031" s="1575"/>
    </row>
    <row r="1032" spans="1:21" ht="10.9" customHeight="1">
      <c r="A1032" s="1574" t="s">
        <v>1322</v>
      </c>
      <c r="B1032" s="1574"/>
      <c r="C1032" s="1574" t="s">
        <v>1775</v>
      </c>
      <c r="D1032" s="1574"/>
      <c r="E1032" s="1574"/>
      <c r="F1032" s="1574" t="s">
        <v>1776</v>
      </c>
      <c r="G1032" s="1574"/>
      <c r="H1032" s="1574"/>
      <c r="I1032" s="1574"/>
      <c r="J1032" s="1412">
        <v>174137.06</v>
      </c>
      <c r="K1032" s="1412">
        <v>0</v>
      </c>
      <c r="L1032" s="1412">
        <v>79793.95</v>
      </c>
      <c r="M1032" s="1575">
        <v>0</v>
      </c>
      <c r="N1032" s="1575"/>
      <c r="O1032" s="1575">
        <v>253931.01</v>
      </c>
      <c r="P1032" s="1575"/>
      <c r="Q1032" s="1575">
        <v>0</v>
      </c>
      <c r="R1032" s="1575"/>
      <c r="S1032" s="1575"/>
      <c r="T1032" s="1575"/>
      <c r="U1032" s="1575"/>
    </row>
    <row r="1033" spans="1:21" ht="10.9" customHeight="1">
      <c r="A1033" s="1574" t="s">
        <v>1322</v>
      </c>
      <c r="B1033" s="1574"/>
      <c r="C1033" s="1574" t="s">
        <v>5920</v>
      </c>
      <c r="D1033" s="1574"/>
      <c r="E1033" s="1574"/>
      <c r="F1033" s="1574" t="s">
        <v>5921</v>
      </c>
      <c r="G1033" s="1574"/>
      <c r="H1033" s="1574"/>
      <c r="I1033" s="1574"/>
      <c r="J1033" s="1412">
        <v>69545.59</v>
      </c>
      <c r="K1033" s="1412">
        <v>0</v>
      </c>
      <c r="L1033" s="1412">
        <v>70051.88</v>
      </c>
      <c r="M1033" s="1575">
        <v>0</v>
      </c>
      <c r="N1033" s="1575"/>
      <c r="O1033" s="1575">
        <v>139597.47</v>
      </c>
      <c r="P1033" s="1575"/>
      <c r="Q1033" s="1575">
        <v>0</v>
      </c>
      <c r="R1033" s="1575"/>
      <c r="S1033" s="1575"/>
      <c r="T1033" s="1575"/>
      <c r="U1033" s="1575"/>
    </row>
    <row r="1034" spans="1:21" ht="10.9" customHeight="1">
      <c r="A1034" s="1574" t="s">
        <v>1322</v>
      </c>
      <c r="B1034" s="1574"/>
      <c r="C1034" s="1574" t="s">
        <v>5922</v>
      </c>
      <c r="D1034" s="1574"/>
      <c r="E1034" s="1574"/>
      <c r="F1034" s="1574" t="s">
        <v>5923</v>
      </c>
      <c r="G1034" s="1574"/>
      <c r="H1034" s="1574"/>
      <c r="I1034" s="1574"/>
      <c r="J1034" s="1412">
        <v>69545.59</v>
      </c>
      <c r="K1034" s="1412">
        <v>0</v>
      </c>
      <c r="L1034" s="1412">
        <v>70051.88</v>
      </c>
      <c r="M1034" s="1575">
        <v>0</v>
      </c>
      <c r="N1034" s="1575"/>
      <c r="O1034" s="1575">
        <v>139597.47</v>
      </c>
      <c r="P1034" s="1575"/>
      <c r="Q1034" s="1575">
        <v>0</v>
      </c>
      <c r="R1034" s="1575"/>
      <c r="S1034" s="1575"/>
      <c r="T1034" s="1575"/>
      <c r="U1034" s="1575"/>
    </row>
    <row r="1035" spans="1:21" ht="10.9" customHeight="1">
      <c r="A1035" s="1574" t="s">
        <v>1322</v>
      </c>
      <c r="B1035" s="1574"/>
      <c r="C1035" s="1574" t="s">
        <v>1674</v>
      </c>
      <c r="D1035" s="1574"/>
      <c r="E1035" s="1574"/>
      <c r="F1035" s="1574" t="s">
        <v>1675</v>
      </c>
      <c r="G1035" s="1574"/>
      <c r="H1035" s="1574"/>
      <c r="I1035" s="1574"/>
      <c r="J1035" s="1412">
        <v>104591.47</v>
      </c>
      <c r="K1035" s="1412">
        <v>0</v>
      </c>
      <c r="L1035" s="1412">
        <v>9742.07</v>
      </c>
      <c r="M1035" s="1575">
        <v>0</v>
      </c>
      <c r="N1035" s="1575"/>
      <c r="O1035" s="1575">
        <v>114333.54</v>
      </c>
      <c r="P1035" s="1575"/>
      <c r="Q1035" s="1575">
        <v>0</v>
      </c>
      <c r="R1035" s="1575"/>
      <c r="S1035" s="1575"/>
      <c r="T1035" s="1575"/>
      <c r="U1035" s="1575"/>
    </row>
    <row r="1036" spans="1:21" ht="10.9" customHeight="1">
      <c r="A1036" s="1574" t="s">
        <v>1322</v>
      </c>
      <c r="B1036" s="1574"/>
      <c r="C1036" s="1574" t="s">
        <v>1676</v>
      </c>
      <c r="D1036" s="1574"/>
      <c r="E1036" s="1574"/>
      <c r="F1036" s="1574" t="s">
        <v>2379</v>
      </c>
      <c r="G1036" s="1574"/>
      <c r="H1036" s="1574"/>
      <c r="I1036" s="1574"/>
      <c r="J1036" s="1412">
        <v>95834.67</v>
      </c>
      <c r="K1036" s="1412">
        <v>0</v>
      </c>
      <c r="L1036" s="1412">
        <v>9717.8700000000008</v>
      </c>
      <c r="M1036" s="1575">
        <v>0</v>
      </c>
      <c r="N1036" s="1575"/>
      <c r="O1036" s="1575">
        <v>105552.54</v>
      </c>
      <c r="P1036" s="1575"/>
      <c r="Q1036" s="1575">
        <v>0</v>
      </c>
      <c r="R1036" s="1575"/>
      <c r="S1036" s="1575"/>
      <c r="T1036" s="1575"/>
      <c r="U1036" s="1575"/>
    </row>
    <row r="1037" spans="1:21" ht="10.9" customHeight="1">
      <c r="A1037" s="1574" t="s">
        <v>1322</v>
      </c>
      <c r="B1037" s="1574"/>
      <c r="C1037" s="1574" t="s">
        <v>1677</v>
      </c>
      <c r="D1037" s="1574"/>
      <c r="E1037" s="1574"/>
      <c r="F1037" s="1574" t="s">
        <v>2380</v>
      </c>
      <c r="G1037" s="1574"/>
      <c r="H1037" s="1574"/>
      <c r="I1037" s="1574"/>
      <c r="J1037" s="1412">
        <v>8756.7999999999993</v>
      </c>
      <c r="K1037" s="1412">
        <v>0</v>
      </c>
      <c r="L1037" s="1412">
        <v>24.2</v>
      </c>
      <c r="M1037" s="1575">
        <v>0</v>
      </c>
      <c r="N1037" s="1575"/>
      <c r="O1037" s="1575">
        <v>8781</v>
      </c>
      <c r="P1037" s="1575"/>
      <c r="Q1037" s="1575">
        <v>0</v>
      </c>
      <c r="R1037" s="1575"/>
      <c r="S1037" s="1575"/>
      <c r="T1037" s="1575"/>
      <c r="U1037" s="1575"/>
    </row>
    <row r="1038" spans="1:21" ht="10.9" customHeight="1">
      <c r="A1038" s="1574" t="s">
        <v>1322</v>
      </c>
      <c r="B1038" s="1574"/>
      <c r="C1038" s="1574" t="s">
        <v>5814</v>
      </c>
      <c r="D1038" s="1574"/>
      <c r="E1038" s="1574"/>
      <c r="F1038" s="1574" t="s">
        <v>5815</v>
      </c>
      <c r="G1038" s="1574"/>
      <c r="H1038" s="1574"/>
      <c r="I1038" s="1574"/>
      <c r="J1038" s="1412">
        <v>0</v>
      </c>
      <c r="K1038" s="1412">
        <v>0</v>
      </c>
      <c r="L1038" s="1412">
        <v>0</v>
      </c>
      <c r="M1038" s="1575">
        <v>0</v>
      </c>
      <c r="N1038" s="1575"/>
      <c r="O1038" s="1575">
        <v>0</v>
      </c>
      <c r="P1038" s="1575"/>
      <c r="Q1038" s="1575">
        <v>0</v>
      </c>
      <c r="R1038" s="1575"/>
      <c r="S1038" s="1575"/>
      <c r="T1038" s="1575"/>
      <c r="U1038" s="1575"/>
    </row>
    <row r="1039" spans="1:21" ht="10.9" customHeight="1">
      <c r="A1039" s="1574" t="s">
        <v>1322</v>
      </c>
      <c r="B1039" s="1574"/>
      <c r="C1039" s="1574" t="s">
        <v>2381</v>
      </c>
      <c r="D1039" s="1574"/>
      <c r="E1039" s="1574"/>
      <c r="F1039" s="1574" t="s">
        <v>5620</v>
      </c>
      <c r="G1039" s="1574"/>
      <c r="H1039" s="1574"/>
      <c r="I1039" s="1574"/>
      <c r="J1039" s="1412">
        <v>0</v>
      </c>
      <c r="K1039" s="1412">
        <v>0</v>
      </c>
      <c r="L1039" s="1412">
        <v>55932940.57</v>
      </c>
      <c r="M1039" s="1575">
        <v>55932940.57</v>
      </c>
      <c r="N1039" s="1575"/>
      <c r="O1039" s="1575">
        <v>0</v>
      </c>
      <c r="P1039" s="1575"/>
      <c r="Q1039" s="1575">
        <v>0</v>
      </c>
      <c r="R1039" s="1575"/>
      <c r="S1039" s="1575"/>
      <c r="T1039" s="1575"/>
      <c r="U1039" s="1575"/>
    </row>
    <row r="1040" spans="1:21" ht="10.9" customHeight="1">
      <c r="A1040" s="1574" t="s">
        <v>1322</v>
      </c>
      <c r="B1040" s="1574"/>
      <c r="C1040" s="1574" t="s">
        <v>2382</v>
      </c>
      <c r="D1040" s="1574"/>
      <c r="E1040" s="1574"/>
      <c r="F1040" s="1574" t="s">
        <v>5621</v>
      </c>
      <c r="G1040" s="1574"/>
      <c r="H1040" s="1574"/>
      <c r="I1040" s="1574"/>
      <c r="J1040" s="1412">
        <v>0</v>
      </c>
      <c r="K1040" s="1412">
        <v>0</v>
      </c>
      <c r="L1040" s="1412">
        <v>21991711.57</v>
      </c>
      <c r="M1040" s="1575">
        <v>21991711.57</v>
      </c>
      <c r="N1040" s="1575"/>
      <c r="O1040" s="1575">
        <v>0</v>
      </c>
      <c r="P1040" s="1575"/>
      <c r="Q1040" s="1575">
        <v>0</v>
      </c>
      <c r="R1040" s="1575"/>
      <c r="S1040" s="1575"/>
      <c r="T1040" s="1575"/>
      <c r="U1040" s="1575"/>
    </row>
    <row r="1041" spans="1:21" ht="10.9" customHeight="1">
      <c r="A1041" s="1574" t="s">
        <v>1322</v>
      </c>
      <c r="B1041" s="1574"/>
      <c r="C1041" s="1574" t="s">
        <v>1678</v>
      </c>
      <c r="D1041" s="1574"/>
      <c r="E1041" s="1574"/>
      <c r="F1041" s="1574" t="s">
        <v>1679</v>
      </c>
      <c r="G1041" s="1574"/>
      <c r="H1041" s="1574"/>
      <c r="I1041" s="1574"/>
      <c r="J1041" s="1412">
        <v>104709875</v>
      </c>
      <c r="K1041" s="1412">
        <v>0</v>
      </c>
      <c r="L1041" s="1412">
        <v>0</v>
      </c>
      <c r="M1041" s="1575">
        <v>0</v>
      </c>
      <c r="N1041" s="1575"/>
      <c r="O1041" s="1575">
        <v>104709875</v>
      </c>
      <c r="P1041" s="1575"/>
      <c r="Q1041" s="1575">
        <v>0</v>
      </c>
      <c r="R1041" s="1575"/>
      <c r="S1041" s="1575"/>
      <c r="T1041" s="1575"/>
      <c r="U1041" s="1575"/>
    </row>
    <row r="1042" spans="1:21" ht="27.2" customHeight="1">
      <c r="A1042" s="1574" t="s">
        <v>1322</v>
      </c>
      <c r="B1042" s="1574"/>
      <c r="C1042" s="1574" t="s">
        <v>3016</v>
      </c>
      <c r="D1042" s="1574"/>
      <c r="E1042" s="1574"/>
      <c r="F1042" s="1574" t="s">
        <v>2991</v>
      </c>
      <c r="G1042" s="1574"/>
      <c r="H1042" s="1574"/>
      <c r="I1042" s="1574"/>
      <c r="J1042" s="1412">
        <v>101100153</v>
      </c>
      <c r="K1042" s="1412">
        <v>0</v>
      </c>
      <c r="L1042" s="1412">
        <v>0</v>
      </c>
      <c r="M1042" s="1575">
        <v>0</v>
      </c>
      <c r="N1042" s="1575"/>
      <c r="O1042" s="1575">
        <v>101100153</v>
      </c>
      <c r="P1042" s="1575"/>
      <c r="Q1042" s="1575">
        <v>0</v>
      </c>
      <c r="R1042" s="1575"/>
      <c r="S1042" s="1575"/>
      <c r="T1042" s="1575"/>
      <c r="U1042" s="1575"/>
    </row>
    <row r="1043" spans="1:21" ht="19.149999999999999" customHeight="1">
      <c r="A1043" s="1574" t="s">
        <v>1322</v>
      </c>
      <c r="B1043" s="1574"/>
      <c r="C1043" s="1574" t="s">
        <v>3017</v>
      </c>
      <c r="D1043" s="1574"/>
      <c r="E1043" s="1574"/>
      <c r="F1043" s="1574" t="s">
        <v>3002</v>
      </c>
      <c r="G1043" s="1574"/>
      <c r="H1043" s="1574"/>
      <c r="I1043" s="1574"/>
      <c r="J1043" s="1412">
        <v>96844862</v>
      </c>
      <c r="K1043" s="1412">
        <v>0</v>
      </c>
      <c r="L1043" s="1412">
        <v>0</v>
      </c>
      <c r="M1043" s="1575">
        <v>0</v>
      </c>
      <c r="N1043" s="1575"/>
      <c r="O1043" s="1575">
        <v>96844862</v>
      </c>
      <c r="P1043" s="1575"/>
      <c r="Q1043" s="1575">
        <v>0</v>
      </c>
      <c r="R1043" s="1575"/>
      <c r="S1043" s="1575"/>
      <c r="T1043" s="1575"/>
      <c r="U1043" s="1575"/>
    </row>
    <row r="1044" spans="1:21" ht="10.9" customHeight="1">
      <c r="A1044" s="1574" t="s">
        <v>1322</v>
      </c>
      <c r="B1044" s="1574"/>
      <c r="C1044" s="1574" t="s">
        <v>3018</v>
      </c>
      <c r="D1044" s="1574"/>
      <c r="E1044" s="1574"/>
      <c r="F1044" s="1574" t="s">
        <v>2311</v>
      </c>
      <c r="G1044" s="1574"/>
      <c r="H1044" s="1574"/>
      <c r="I1044" s="1574"/>
      <c r="J1044" s="1412">
        <v>3973171</v>
      </c>
      <c r="K1044" s="1412">
        <v>0</v>
      </c>
      <c r="L1044" s="1412">
        <v>0</v>
      </c>
      <c r="M1044" s="1575">
        <v>0</v>
      </c>
      <c r="N1044" s="1575"/>
      <c r="O1044" s="1575">
        <v>3973171</v>
      </c>
      <c r="P1044" s="1575"/>
      <c r="Q1044" s="1575">
        <v>0</v>
      </c>
      <c r="R1044" s="1575"/>
      <c r="S1044" s="1575"/>
      <c r="T1044" s="1575"/>
      <c r="U1044" s="1575"/>
    </row>
    <row r="1045" spans="1:21" ht="10.9" customHeight="1">
      <c r="A1045" s="1574" t="s">
        <v>1322</v>
      </c>
      <c r="B1045" s="1574"/>
      <c r="C1045" s="1574" t="s">
        <v>3019</v>
      </c>
      <c r="D1045" s="1574"/>
      <c r="E1045" s="1574"/>
      <c r="F1045" s="1574" t="s">
        <v>2313</v>
      </c>
      <c r="G1045" s="1574"/>
      <c r="H1045" s="1574"/>
      <c r="I1045" s="1574"/>
      <c r="J1045" s="1412">
        <v>69830951</v>
      </c>
      <c r="K1045" s="1412">
        <v>0</v>
      </c>
      <c r="L1045" s="1412">
        <v>0</v>
      </c>
      <c r="M1045" s="1575">
        <v>0</v>
      </c>
      <c r="N1045" s="1575"/>
      <c r="O1045" s="1575">
        <v>69830951</v>
      </c>
      <c r="P1045" s="1575"/>
      <c r="Q1045" s="1575">
        <v>0</v>
      </c>
      <c r="R1045" s="1575"/>
      <c r="S1045" s="1575"/>
      <c r="T1045" s="1575"/>
      <c r="U1045" s="1575"/>
    </row>
    <row r="1046" spans="1:21" ht="10.9" customHeight="1">
      <c r="A1046" s="1574" t="s">
        <v>1322</v>
      </c>
      <c r="B1046" s="1574"/>
      <c r="C1046" s="1574" t="s">
        <v>3020</v>
      </c>
      <c r="D1046" s="1574"/>
      <c r="E1046" s="1574"/>
      <c r="F1046" s="1574" t="s">
        <v>2314</v>
      </c>
      <c r="G1046" s="1574"/>
      <c r="H1046" s="1574"/>
      <c r="I1046" s="1574"/>
      <c r="J1046" s="1412">
        <v>7400936</v>
      </c>
      <c r="K1046" s="1412">
        <v>0</v>
      </c>
      <c r="L1046" s="1412">
        <v>0</v>
      </c>
      <c r="M1046" s="1575">
        <v>0</v>
      </c>
      <c r="N1046" s="1575"/>
      <c r="O1046" s="1575">
        <v>7400936</v>
      </c>
      <c r="P1046" s="1575"/>
      <c r="Q1046" s="1575">
        <v>0</v>
      </c>
      <c r="R1046" s="1575"/>
      <c r="S1046" s="1575"/>
      <c r="T1046" s="1575"/>
      <c r="U1046" s="1575"/>
    </row>
    <row r="1047" spans="1:21" ht="10.9" customHeight="1">
      <c r="A1047" s="1574" t="s">
        <v>1322</v>
      </c>
      <c r="B1047" s="1574"/>
      <c r="C1047" s="1574" t="s">
        <v>3021</v>
      </c>
      <c r="D1047" s="1574"/>
      <c r="E1047" s="1574"/>
      <c r="F1047" s="1574" t="s">
        <v>2316</v>
      </c>
      <c r="G1047" s="1574"/>
      <c r="H1047" s="1574"/>
      <c r="I1047" s="1574"/>
      <c r="J1047" s="1412">
        <v>4041664</v>
      </c>
      <c r="K1047" s="1412">
        <v>0</v>
      </c>
      <c r="L1047" s="1412">
        <v>0</v>
      </c>
      <c r="M1047" s="1575">
        <v>0</v>
      </c>
      <c r="N1047" s="1575"/>
      <c r="O1047" s="1575">
        <v>4041664</v>
      </c>
      <c r="P1047" s="1575"/>
      <c r="Q1047" s="1575">
        <v>0</v>
      </c>
      <c r="R1047" s="1575"/>
      <c r="S1047" s="1575"/>
      <c r="T1047" s="1575"/>
      <c r="U1047" s="1575"/>
    </row>
    <row r="1048" spans="1:21" ht="10.9" customHeight="1">
      <c r="A1048" s="1574" t="s">
        <v>1322</v>
      </c>
      <c r="B1048" s="1574"/>
      <c r="C1048" s="1574" t="s">
        <v>3022</v>
      </c>
      <c r="D1048" s="1574"/>
      <c r="E1048" s="1574"/>
      <c r="F1048" s="1574" t="s">
        <v>2317</v>
      </c>
      <c r="G1048" s="1574"/>
      <c r="H1048" s="1574"/>
      <c r="I1048" s="1574"/>
      <c r="J1048" s="1412">
        <v>1525455</v>
      </c>
      <c r="K1048" s="1412">
        <v>0</v>
      </c>
      <c r="L1048" s="1412">
        <v>0</v>
      </c>
      <c r="M1048" s="1575">
        <v>0</v>
      </c>
      <c r="N1048" s="1575"/>
      <c r="O1048" s="1575">
        <v>1525455</v>
      </c>
      <c r="P1048" s="1575"/>
      <c r="Q1048" s="1575">
        <v>0</v>
      </c>
      <c r="R1048" s="1575"/>
      <c r="S1048" s="1575"/>
      <c r="T1048" s="1575"/>
      <c r="U1048" s="1575"/>
    </row>
    <row r="1049" spans="1:21" ht="10.9" customHeight="1">
      <c r="A1049" s="1574" t="s">
        <v>1322</v>
      </c>
      <c r="B1049" s="1574"/>
      <c r="C1049" s="1574" t="s">
        <v>3023</v>
      </c>
      <c r="D1049" s="1574"/>
      <c r="E1049" s="1574"/>
      <c r="F1049" s="1574" t="s">
        <v>2318</v>
      </c>
      <c r="G1049" s="1574"/>
      <c r="H1049" s="1574"/>
      <c r="I1049" s="1574"/>
      <c r="J1049" s="1412">
        <v>577398</v>
      </c>
      <c r="K1049" s="1412">
        <v>0</v>
      </c>
      <c r="L1049" s="1412">
        <v>0</v>
      </c>
      <c r="M1049" s="1575">
        <v>0</v>
      </c>
      <c r="N1049" s="1575"/>
      <c r="O1049" s="1575">
        <v>577398</v>
      </c>
      <c r="P1049" s="1575"/>
      <c r="Q1049" s="1575">
        <v>0</v>
      </c>
      <c r="R1049" s="1575"/>
      <c r="S1049" s="1575"/>
      <c r="T1049" s="1575"/>
      <c r="U1049" s="1575"/>
    </row>
    <row r="1050" spans="1:21" ht="10.9" customHeight="1">
      <c r="A1050" s="1574" t="s">
        <v>1322</v>
      </c>
      <c r="B1050" s="1574"/>
      <c r="C1050" s="1574" t="s">
        <v>3024</v>
      </c>
      <c r="D1050" s="1574"/>
      <c r="E1050" s="1574"/>
      <c r="F1050" s="1574" t="s">
        <v>2319</v>
      </c>
      <c r="G1050" s="1574"/>
      <c r="H1050" s="1574"/>
      <c r="I1050" s="1574"/>
      <c r="J1050" s="1412">
        <v>5691748</v>
      </c>
      <c r="K1050" s="1412">
        <v>0</v>
      </c>
      <c r="L1050" s="1412">
        <v>0</v>
      </c>
      <c r="M1050" s="1575">
        <v>0</v>
      </c>
      <c r="N1050" s="1575"/>
      <c r="O1050" s="1575">
        <v>5691748</v>
      </c>
      <c r="P1050" s="1575"/>
      <c r="Q1050" s="1575">
        <v>0</v>
      </c>
      <c r="R1050" s="1575"/>
      <c r="S1050" s="1575"/>
      <c r="T1050" s="1575"/>
      <c r="U1050" s="1575"/>
    </row>
    <row r="1051" spans="1:21" ht="10.9" customHeight="1">
      <c r="A1051" s="1574" t="s">
        <v>1322</v>
      </c>
      <c r="B1051" s="1574"/>
      <c r="C1051" s="1574" t="s">
        <v>3025</v>
      </c>
      <c r="D1051" s="1574"/>
      <c r="E1051" s="1574"/>
      <c r="F1051" s="1574" t="s">
        <v>2320</v>
      </c>
      <c r="G1051" s="1574"/>
      <c r="H1051" s="1574"/>
      <c r="I1051" s="1574"/>
      <c r="J1051" s="1412">
        <v>661336</v>
      </c>
      <c r="K1051" s="1412">
        <v>0</v>
      </c>
      <c r="L1051" s="1412">
        <v>0</v>
      </c>
      <c r="M1051" s="1575">
        <v>0</v>
      </c>
      <c r="N1051" s="1575"/>
      <c r="O1051" s="1575">
        <v>661336</v>
      </c>
      <c r="P1051" s="1575"/>
      <c r="Q1051" s="1575">
        <v>0</v>
      </c>
      <c r="R1051" s="1575"/>
      <c r="S1051" s="1575"/>
      <c r="T1051" s="1575"/>
      <c r="U1051" s="1575"/>
    </row>
    <row r="1052" spans="1:21" ht="10.9" customHeight="1">
      <c r="A1052" s="1574" t="s">
        <v>1322</v>
      </c>
      <c r="B1052" s="1574"/>
      <c r="C1052" s="1574" t="s">
        <v>3026</v>
      </c>
      <c r="D1052" s="1574"/>
      <c r="E1052" s="1574"/>
      <c r="F1052" s="1574" t="s">
        <v>2321</v>
      </c>
      <c r="G1052" s="1574"/>
      <c r="H1052" s="1574"/>
      <c r="I1052" s="1574"/>
      <c r="J1052" s="1412">
        <v>329351</v>
      </c>
      <c r="K1052" s="1412">
        <v>0</v>
      </c>
      <c r="L1052" s="1412">
        <v>0</v>
      </c>
      <c r="M1052" s="1575">
        <v>0</v>
      </c>
      <c r="N1052" s="1575"/>
      <c r="O1052" s="1575">
        <v>329351</v>
      </c>
      <c r="P1052" s="1575"/>
      <c r="Q1052" s="1575">
        <v>0</v>
      </c>
      <c r="R1052" s="1575"/>
      <c r="S1052" s="1575"/>
      <c r="T1052" s="1575"/>
      <c r="U1052" s="1575"/>
    </row>
    <row r="1053" spans="1:21" ht="10.9" customHeight="1">
      <c r="A1053" s="1574" t="s">
        <v>1322</v>
      </c>
      <c r="B1053" s="1574"/>
      <c r="C1053" s="1574" t="s">
        <v>3027</v>
      </c>
      <c r="D1053" s="1574"/>
      <c r="E1053" s="1574"/>
      <c r="F1053" s="1574" t="s">
        <v>2322</v>
      </c>
      <c r="G1053" s="1574"/>
      <c r="H1053" s="1574"/>
      <c r="I1053" s="1574"/>
      <c r="J1053" s="1412">
        <v>286398</v>
      </c>
      <c r="K1053" s="1412">
        <v>0</v>
      </c>
      <c r="L1053" s="1412">
        <v>0</v>
      </c>
      <c r="M1053" s="1575">
        <v>0</v>
      </c>
      <c r="N1053" s="1575"/>
      <c r="O1053" s="1575">
        <v>286398</v>
      </c>
      <c r="P1053" s="1575"/>
      <c r="Q1053" s="1575">
        <v>0</v>
      </c>
      <c r="R1053" s="1575"/>
      <c r="S1053" s="1575"/>
      <c r="T1053" s="1575"/>
      <c r="U1053" s="1575"/>
    </row>
    <row r="1054" spans="1:21" ht="10.9" customHeight="1">
      <c r="A1054" s="1574" t="s">
        <v>1322</v>
      </c>
      <c r="B1054" s="1574"/>
      <c r="C1054" s="1574" t="s">
        <v>3028</v>
      </c>
      <c r="D1054" s="1574"/>
      <c r="E1054" s="1574"/>
      <c r="F1054" s="1574" t="s">
        <v>2383</v>
      </c>
      <c r="G1054" s="1574"/>
      <c r="H1054" s="1574"/>
      <c r="I1054" s="1574"/>
      <c r="J1054" s="1412">
        <v>985042</v>
      </c>
      <c r="K1054" s="1412">
        <v>0</v>
      </c>
      <c r="L1054" s="1412">
        <v>0</v>
      </c>
      <c r="M1054" s="1575">
        <v>0</v>
      </c>
      <c r="N1054" s="1575"/>
      <c r="O1054" s="1575">
        <v>985042</v>
      </c>
      <c r="P1054" s="1575"/>
      <c r="Q1054" s="1575">
        <v>0</v>
      </c>
      <c r="R1054" s="1575"/>
      <c r="S1054" s="1575"/>
      <c r="T1054" s="1575"/>
      <c r="U1054" s="1575"/>
    </row>
    <row r="1055" spans="1:21" ht="10.9" customHeight="1">
      <c r="A1055" s="1574" t="s">
        <v>1322</v>
      </c>
      <c r="B1055" s="1574"/>
      <c r="C1055" s="1574" t="s">
        <v>3029</v>
      </c>
      <c r="D1055" s="1574"/>
      <c r="E1055" s="1574"/>
      <c r="F1055" s="1574" t="s">
        <v>2323</v>
      </c>
      <c r="G1055" s="1574"/>
      <c r="H1055" s="1574"/>
      <c r="I1055" s="1574"/>
      <c r="J1055" s="1412">
        <v>1541412</v>
      </c>
      <c r="K1055" s="1412">
        <v>0</v>
      </c>
      <c r="L1055" s="1412">
        <v>0</v>
      </c>
      <c r="M1055" s="1575">
        <v>0</v>
      </c>
      <c r="N1055" s="1575"/>
      <c r="O1055" s="1575">
        <v>1541412</v>
      </c>
      <c r="P1055" s="1575"/>
      <c r="Q1055" s="1575">
        <v>0</v>
      </c>
      <c r="R1055" s="1575"/>
      <c r="S1055" s="1575"/>
      <c r="T1055" s="1575"/>
      <c r="U1055" s="1575"/>
    </row>
    <row r="1056" spans="1:21" ht="19.149999999999999" customHeight="1">
      <c r="A1056" s="1574" t="s">
        <v>1322</v>
      </c>
      <c r="B1056" s="1574"/>
      <c r="C1056" s="1574" t="s">
        <v>3030</v>
      </c>
      <c r="D1056" s="1574"/>
      <c r="E1056" s="1574"/>
      <c r="F1056" s="1574" t="s">
        <v>3002</v>
      </c>
      <c r="G1056" s="1574"/>
      <c r="H1056" s="1574"/>
      <c r="I1056" s="1574"/>
      <c r="J1056" s="1412">
        <v>4255291</v>
      </c>
      <c r="K1056" s="1412">
        <v>0</v>
      </c>
      <c r="L1056" s="1412">
        <v>0</v>
      </c>
      <c r="M1056" s="1575">
        <v>0</v>
      </c>
      <c r="N1056" s="1575"/>
      <c r="O1056" s="1575">
        <v>4255291</v>
      </c>
      <c r="P1056" s="1575"/>
      <c r="Q1056" s="1575">
        <v>0</v>
      </c>
      <c r="R1056" s="1575"/>
      <c r="S1056" s="1575"/>
      <c r="T1056" s="1575"/>
      <c r="U1056" s="1575"/>
    </row>
    <row r="1057" spans="1:23" ht="17.25" customHeight="1">
      <c r="S1057" s="1573" t="s">
        <v>2638</v>
      </c>
      <c r="T1057" s="1573"/>
      <c r="U1057" s="1573"/>
      <c r="V1057" s="1573"/>
      <c r="W1057" s="1573"/>
    </row>
    <row r="1058" spans="1:23" ht="7.15" customHeight="1">
      <c r="C1058" s="1586" t="s">
        <v>2987</v>
      </c>
      <c r="D1058" s="1586"/>
      <c r="E1058" s="1586"/>
      <c r="F1058" s="1586"/>
      <c r="G1058" s="1586"/>
      <c r="H1058" s="1586"/>
      <c r="I1058" s="1586"/>
      <c r="J1058" s="1586"/>
      <c r="K1058" s="1586"/>
      <c r="L1058" s="1586"/>
      <c r="M1058" s="1586"/>
      <c r="N1058" s="1586"/>
      <c r="O1058" s="1586"/>
      <c r="P1058" s="1586"/>
      <c r="Q1058" s="1586"/>
      <c r="R1058" s="1586"/>
      <c r="S1058" s="1586"/>
      <c r="T1058" s="1586"/>
    </row>
    <row r="1059" spans="1:23" ht="9.6" customHeight="1">
      <c r="A1059" s="1587"/>
      <c r="B1059" s="1587"/>
      <c r="C1059" s="1587"/>
      <c r="D1059" s="1587"/>
      <c r="E1059" s="1587"/>
      <c r="F1059" s="1587"/>
      <c r="G1059" s="1586"/>
      <c r="H1059" s="1586"/>
      <c r="I1059" s="1586"/>
      <c r="J1059" s="1586"/>
      <c r="K1059" s="1586"/>
      <c r="L1059" s="1586"/>
      <c r="M1059" s="1586"/>
      <c r="N1059" s="1586"/>
      <c r="O1059" s="1586"/>
      <c r="P1059" s="1586"/>
      <c r="Q1059" s="1586"/>
      <c r="R1059" s="1586"/>
      <c r="S1059" s="1586"/>
      <c r="T1059" s="1586"/>
    </row>
    <row r="1060" spans="1:23" ht="13.35" customHeight="1">
      <c r="A1060" s="1587"/>
      <c r="B1060" s="1587"/>
      <c r="C1060" s="1587"/>
      <c r="D1060" s="1587"/>
      <c r="E1060" s="1587"/>
      <c r="F1060" s="1587"/>
      <c r="G1060" s="1588" t="s">
        <v>79</v>
      </c>
      <c r="H1060" s="1588"/>
      <c r="I1060" s="1588"/>
      <c r="J1060" s="1588"/>
      <c r="K1060" s="1588"/>
      <c r="L1060" s="1588"/>
      <c r="M1060" s="1588"/>
      <c r="N1060" s="1588"/>
      <c r="O1060" s="1588"/>
      <c r="P1060" s="1588"/>
      <c r="Q1060" s="1588"/>
      <c r="R1060" s="1588"/>
    </row>
    <row r="1061" spans="1:23" ht="5.25" customHeight="1">
      <c r="A1061" s="1587"/>
      <c r="B1061" s="1587"/>
      <c r="C1061" s="1587"/>
      <c r="D1061" s="1587"/>
      <c r="E1061" s="1587"/>
      <c r="F1061" s="1587"/>
      <c r="G1061" s="1581" t="s">
        <v>7015</v>
      </c>
      <c r="H1061" s="1581"/>
      <c r="I1061" s="1581"/>
      <c r="J1061" s="1581"/>
      <c r="K1061" s="1581"/>
      <c r="L1061" s="1581"/>
      <c r="M1061" s="1581"/>
      <c r="N1061" s="1581"/>
      <c r="O1061" s="1581"/>
      <c r="P1061" s="1581"/>
      <c r="Q1061" s="1581"/>
    </row>
    <row r="1062" spans="1:23" ht="8.1" customHeight="1">
      <c r="B1062" s="1580" t="s">
        <v>1916</v>
      </c>
      <c r="C1062" s="1580"/>
      <c r="D1062" s="1580"/>
      <c r="E1062" s="1580"/>
      <c r="F1062" s="1580"/>
      <c r="G1062" s="1580"/>
      <c r="H1062" s="1581"/>
      <c r="I1062" s="1581"/>
      <c r="J1062" s="1581"/>
      <c r="K1062" s="1581"/>
      <c r="L1062" s="1581"/>
      <c r="M1062" s="1581"/>
      <c r="N1062" s="1582" t="s">
        <v>5619</v>
      </c>
      <c r="O1062" s="1582"/>
      <c r="P1062" s="1582"/>
      <c r="Q1062" s="1582"/>
      <c r="R1062" s="1582"/>
      <c r="S1062" s="1582"/>
      <c r="T1062" s="1583" t="s">
        <v>7016</v>
      </c>
      <c r="U1062" s="1583"/>
      <c r="V1062" s="1583"/>
      <c r="W1062" s="1583"/>
    </row>
    <row r="1063" spans="1:23" ht="6" customHeight="1">
      <c r="B1063" s="1580"/>
      <c r="C1063" s="1580"/>
      <c r="D1063" s="1580"/>
      <c r="E1063" s="1580"/>
      <c r="F1063" s="1580"/>
      <c r="G1063" s="1580"/>
      <c r="H1063" s="1584" t="s">
        <v>7017</v>
      </c>
      <c r="I1063" s="1584"/>
      <c r="J1063" s="1584"/>
      <c r="K1063" s="1584"/>
      <c r="L1063" s="1584"/>
      <c r="M1063" s="1584"/>
      <c r="N1063" s="1582"/>
      <c r="O1063" s="1582"/>
      <c r="P1063" s="1582"/>
      <c r="Q1063" s="1582"/>
      <c r="R1063" s="1582"/>
      <c r="S1063" s="1582"/>
      <c r="T1063" s="1583"/>
      <c r="U1063" s="1583"/>
      <c r="V1063" s="1583"/>
      <c r="W1063" s="1583"/>
    </row>
    <row r="1064" spans="1:23" ht="7.35" customHeight="1">
      <c r="B1064" s="1580" t="s">
        <v>1994</v>
      </c>
      <c r="C1064" s="1580"/>
      <c r="D1064" s="1580"/>
      <c r="E1064" s="1585"/>
      <c r="F1064" s="1585"/>
      <c r="G1064" s="1585"/>
      <c r="H1064" s="1585"/>
      <c r="I1064" s="1585"/>
      <c r="J1064" s="1585"/>
      <c r="K1064" s="1585"/>
      <c r="L1064" s="1585"/>
      <c r="M1064" s="1585"/>
      <c r="N1064" s="1585"/>
      <c r="O1064" s="1585"/>
      <c r="P1064" s="1585"/>
      <c r="Q1064" s="1585"/>
      <c r="R1064" s="1582"/>
      <c r="S1064" s="1582"/>
      <c r="T1064" s="1582" t="s">
        <v>7018</v>
      </c>
      <c r="U1064" s="1582"/>
    </row>
    <row r="1065" spans="1:23" ht="6.75" customHeight="1">
      <c r="E1065" s="1585"/>
      <c r="F1065" s="1585"/>
      <c r="G1065" s="1585"/>
      <c r="H1065" s="1585"/>
      <c r="I1065" s="1585"/>
      <c r="J1065" s="1585"/>
      <c r="K1065" s="1585"/>
      <c r="L1065" s="1585"/>
      <c r="M1065" s="1585"/>
      <c r="N1065" s="1585"/>
      <c r="O1065" s="1585"/>
      <c r="P1065" s="1585"/>
      <c r="Q1065" s="1585"/>
      <c r="R1065" s="1582"/>
      <c r="S1065" s="1582"/>
      <c r="T1065" s="1582"/>
      <c r="U1065" s="1582"/>
    </row>
    <row r="1066" spans="1:23" ht="10.9" customHeight="1">
      <c r="A1066" s="1576"/>
      <c r="B1066" s="1576"/>
      <c r="C1066" s="1576"/>
      <c r="D1066" s="1576"/>
      <c r="E1066" s="1576"/>
      <c r="F1066" s="1576"/>
      <c r="G1066" s="1576"/>
      <c r="H1066" s="1576"/>
      <c r="I1066" s="1576"/>
      <c r="J1066" s="1577" t="s">
        <v>1314</v>
      </c>
      <c r="K1066" s="1577"/>
      <c r="L1066" s="1577" t="s">
        <v>1315</v>
      </c>
      <c r="M1066" s="1577"/>
      <c r="N1066" s="1577"/>
      <c r="O1066" s="1577" t="s">
        <v>1316</v>
      </c>
      <c r="P1066" s="1577"/>
      <c r="Q1066" s="1577"/>
      <c r="R1066" s="1577"/>
      <c r="S1066" s="1577"/>
      <c r="T1066" s="1577"/>
      <c r="U1066" s="1577"/>
    </row>
    <row r="1067" spans="1:23" ht="14.1" customHeight="1">
      <c r="A1067" s="1578" t="s">
        <v>1317</v>
      </c>
      <c r="B1067" s="1578"/>
      <c r="C1067" s="1578" t="s">
        <v>1318</v>
      </c>
      <c r="D1067" s="1578"/>
      <c r="E1067" s="1578"/>
      <c r="F1067" s="1578" t="s">
        <v>1319</v>
      </c>
      <c r="G1067" s="1578"/>
      <c r="H1067" s="1578"/>
      <c r="I1067" s="1578"/>
      <c r="J1067" s="1413" t="s">
        <v>1320</v>
      </c>
      <c r="K1067" s="1413" t="s">
        <v>1321</v>
      </c>
      <c r="L1067" s="1413" t="s">
        <v>1320</v>
      </c>
      <c r="M1067" s="1579" t="s">
        <v>1321</v>
      </c>
      <c r="N1067" s="1579"/>
      <c r="O1067" s="1579" t="s">
        <v>1320</v>
      </c>
      <c r="P1067" s="1579"/>
      <c r="Q1067" s="1579" t="s">
        <v>1321</v>
      </c>
      <c r="R1067" s="1579"/>
      <c r="S1067" s="1579"/>
      <c r="T1067" s="1579"/>
      <c r="U1067" s="1579"/>
    </row>
    <row r="1068" spans="1:23" ht="14.1" customHeight="1">
      <c r="A1068" s="1574" t="s">
        <v>1322</v>
      </c>
      <c r="B1068" s="1574"/>
      <c r="C1068" s="1574" t="s">
        <v>3031</v>
      </c>
      <c r="D1068" s="1574"/>
      <c r="E1068" s="1574"/>
      <c r="F1068" s="1574" t="s">
        <v>0</v>
      </c>
      <c r="G1068" s="1574"/>
      <c r="H1068" s="1574"/>
      <c r="I1068" s="1574"/>
      <c r="J1068" s="1412">
        <v>4032091</v>
      </c>
      <c r="K1068" s="1412">
        <v>0</v>
      </c>
      <c r="L1068" s="1412">
        <v>0</v>
      </c>
      <c r="M1068" s="1575">
        <v>0</v>
      </c>
      <c r="N1068" s="1575"/>
      <c r="O1068" s="1575">
        <v>4032091</v>
      </c>
      <c r="P1068" s="1575"/>
      <c r="Q1068" s="1575">
        <v>0</v>
      </c>
      <c r="R1068" s="1575"/>
      <c r="S1068" s="1575"/>
      <c r="T1068" s="1575"/>
      <c r="U1068" s="1575"/>
    </row>
    <row r="1069" spans="1:23" ht="10.9" customHeight="1">
      <c r="A1069" s="1574" t="s">
        <v>1322</v>
      </c>
      <c r="B1069" s="1574"/>
      <c r="C1069" s="1574" t="s">
        <v>3273</v>
      </c>
      <c r="D1069" s="1574"/>
      <c r="E1069" s="1574"/>
      <c r="F1069" s="1574" t="s">
        <v>3172</v>
      </c>
      <c r="G1069" s="1574"/>
      <c r="H1069" s="1574"/>
      <c r="I1069" s="1574"/>
      <c r="J1069" s="1412">
        <v>223200</v>
      </c>
      <c r="K1069" s="1412">
        <v>0</v>
      </c>
      <c r="L1069" s="1412">
        <v>0</v>
      </c>
      <c r="M1069" s="1575">
        <v>0</v>
      </c>
      <c r="N1069" s="1575"/>
      <c r="O1069" s="1575">
        <v>223200</v>
      </c>
      <c r="P1069" s="1575"/>
      <c r="Q1069" s="1575">
        <v>0</v>
      </c>
      <c r="R1069" s="1575"/>
      <c r="S1069" s="1575"/>
      <c r="T1069" s="1575"/>
      <c r="U1069" s="1575"/>
    </row>
    <row r="1070" spans="1:23" ht="19.149999999999999" customHeight="1">
      <c r="A1070" s="1574" t="s">
        <v>1322</v>
      </c>
      <c r="B1070" s="1574"/>
      <c r="C1070" s="1574" t="s">
        <v>3274</v>
      </c>
      <c r="D1070" s="1574"/>
      <c r="E1070" s="1574"/>
      <c r="F1070" s="1574" t="s">
        <v>2993</v>
      </c>
      <c r="G1070" s="1574"/>
      <c r="H1070" s="1574"/>
      <c r="I1070" s="1574"/>
      <c r="J1070" s="1412">
        <v>3609722</v>
      </c>
      <c r="K1070" s="1412">
        <v>0</v>
      </c>
      <c r="L1070" s="1412">
        <v>0</v>
      </c>
      <c r="M1070" s="1575">
        <v>0</v>
      </c>
      <c r="N1070" s="1575"/>
      <c r="O1070" s="1575">
        <v>3609722</v>
      </c>
      <c r="P1070" s="1575"/>
      <c r="Q1070" s="1575">
        <v>0</v>
      </c>
      <c r="R1070" s="1575"/>
      <c r="S1070" s="1575"/>
      <c r="T1070" s="1575"/>
      <c r="U1070" s="1575"/>
    </row>
    <row r="1071" spans="1:23" ht="10.9" customHeight="1">
      <c r="A1071" s="1574" t="s">
        <v>1322</v>
      </c>
      <c r="B1071" s="1574"/>
      <c r="C1071" s="1574" t="s">
        <v>3275</v>
      </c>
      <c r="D1071" s="1574"/>
      <c r="E1071" s="1574"/>
      <c r="F1071" s="1574" t="s">
        <v>2328</v>
      </c>
      <c r="G1071" s="1574"/>
      <c r="H1071" s="1574"/>
      <c r="I1071" s="1574"/>
      <c r="J1071" s="1412">
        <v>3609722</v>
      </c>
      <c r="K1071" s="1412">
        <v>0</v>
      </c>
      <c r="L1071" s="1412">
        <v>0</v>
      </c>
      <c r="M1071" s="1575">
        <v>0</v>
      </c>
      <c r="N1071" s="1575"/>
      <c r="O1071" s="1575">
        <v>3609722</v>
      </c>
      <c r="P1071" s="1575"/>
      <c r="Q1071" s="1575">
        <v>0</v>
      </c>
      <c r="R1071" s="1575"/>
      <c r="S1071" s="1575"/>
      <c r="T1071" s="1575"/>
      <c r="U1071" s="1575"/>
    </row>
    <row r="1072" spans="1:23" ht="10.9" customHeight="1">
      <c r="A1072" s="1574" t="s">
        <v>345</v>
      </c>
      <c r="B1072" s="1574"/>
      <c r="C1072" s="1574" t="s">
        <v>1680</v>
      </c>
      <c r="D1072" s="1574"/>
      <c r="E1072" s="1574"/>
      <c r="F1072" s="1574" t="s">
        <v>1681</v>
      </c>
      <c r="G1072" s="1574"/>
      <c r="H1072" s="1574"/>
      <c r="I1072" s="1574"/>
      <c r="J1072" s="1412">
        <v>0</v>
      </c>
      <c r="K1072" s="1412">
        <v>6195612.3700000001</v>
      </c>
      <c r="L1072" s="1412">
        <v>7752578.0800000001</v>
      </c>
      <c r="M1072" s="1575">
        <v>6486555.4100000001</v>
      </c>
      <c r="N1072" s="1575"/>
      <c r="O1072" s="1575">
        <v>0</v>
      </c>
      <c r="P1072" s="1575"/>
      <c r="Q1072" s="1575">
        <v>4929589.7</v>
      </c>
      <c r="R1072" s="1575"/>
      <c r="S1072" s="1575"/>
      <c r="T1072" s="1575"/>
      <c r="U1072" s="1575"/>
    </row>
    <row r="1073" spans="1:21" ht="27.2" customHeight="1">
      <c r="A1073" s="1574" t="s">
        <v>345</v>
      </c>
      <c r="B1073" s="1574"/>
      <c r="C1073" s="1574" t="s">
        <v>3032</v>
      </c>
      <c r="D1073" s="1574"/>
      <c r="E1073" s="1574"/>
      <c r="F1073" s="1574" t="s">
        <v>2991</v>
      </c>
      <c r="G1073" s="1574"/>
      <c r="H1073" s="1574"/>
      <c r="I1073" s="1574"/>
      <c r="J1073" s="1412">
        <v>0</v>
      </c>
      <c r="K1073" s="1412">
        <v>10001332.33</v>
      </c>
      <c r="L1073" s="1412">
        <v>6935386.7800000003</v>
      </c>
      <c r="M1073" s="1575">
        <v>1891745.02</v>
      </c>
      <c r="N1073" s="1575"/>
      <c r="O1073" s="1575">
        <v>0</v>
      </c>
      <c r="P1073" s="1575"/>
      <c r="Q1073" s="1575">
        <v>4957690.57</v>
      </c>
      <c r="R1073" s="1575"/>
      <c r="S1073" s="1575"/>
      <c r="T1073" s="1575"/>
      <c r="U1073" s="1575"/>
    </row>
    <row r="1074" spans="1:21" ht="19.149999999999999" customHeight="1">
      <c r="A1074" s="1574" t="s">
        <v>345</v>
      </c>
      <c r="B1074" s="1574"/>
      <c r="C1074" s="1574" t="s">
        <v>3033</v>
      </c>
      <c r="D1074" s="1574"/>
      <c r="E1074" s="1574"/>
      <c r="F1074" s="1574" t="s">
        <v>3002</v>
      </c>
      <c r="G1074" s="1574"/>
      <c r="H1074" s="1574"/>
      <c r="I1074" s="1574"/>
      <c r="J1074" s="1412">
        <v>0</v>
      </c>
      <c r="K1074" s="1412">
        <v>10189197.09</v>
      </c>
      <c r="L1074" s="1412">
        <v>6810205.3399999999</v>
      </c>
      <c r="M1074" s="1575">
        <v>1527586.02</v>
      </c>
      <c r="N1074" s="1575"/>
      <c r="O1074" s="1575">
        <v>0</v>
      </c>
      <c r="P1074" s="1575"/>
      <c r="Q1074" s="1575">
        <v>4906577.7699999996</v>
      </c>
      <c r="R1074" s="1575"/>
      <c r="S1074" s="1575"/>
      <c r="T1074" s="1575"/>
      <c r="U1074" s="1575"/>
    </row>
    <row r="1075" spans="1:21" ht="10.9" customHeight="1">
      <c r="A1075" s="1574" t="s">
        <v>345</v>
      </c>
      <c r="B1075" s="1574"/>
      <c r="C1075" s="1574" t="s">
        <v>3034</v>
      </c>
      <c r="D1075" s="1574"/>
      <c r="E1075" s="1574"/>
      <c r="F1075" s="1574" t="s">
        <v>2311</v>
      </c>
      <c r="G1075" s="1574"/>
      <c r="H1075" s="1574"/>
      <c r="I1075" s="1574"/>
      <c r="J1075" s="1412">
        <v>0</v>
      </c>
      <c r="K1075" s="1412">
        <v>699755.12</v>
      </c>
      <c r="L1075" s="1412">
        <v>270844.79999999999</v>
      </c>
      <c r="M1075" s="1575">
        <v>0</v>
      </c>
      <c r="N1075" s="1575"/>
      <c r="O1075" s="1575">
        <v>0</v>
      </c>
      <c r="P1075" s="1575"/>
      <c r="Q1075" s="1575">
        <v>428910.32</v>
      </c>
      <c r="R1075" s="1575"/>
      <c r="S1075" s="1575"/>
      <c r="T1075" s="1575"/>
      <c r="U1075" s="1575"/>
    </row>
    <row r="1076" spans="1:21" ht="10.9" customHeight="1">
      <c r="A1076" s="1574" t="s">
        <v>345</v>
      </c>
      <c r="B1076" s="1574"/>
      <c r="C1076" s="1574" t="s">
        <v>3035</v>
      </c>
      <c r="D1076" s="1574"/>
      <c r="E1076" s="1574"/>
      <c r="F1076" s="1574" t="s">
        <v>2313</v>
      </c>
      <c r="G1076" s="1574"/>
      <c r="H1076" s="1574"/>
      <c r="I1076" s="1574"/>
      <c r="J1076" s="1412">
        <v>0</v>
      </c>
      <c r="K1076" s="1412">
        <v>7778548.2300000004</v>
      </c>
      <c r="L1076" s="1412">
        <v>4914720.3099999996</v>
      </c>
      <c r="M1076" s="1575">
        <v>0</v>
      </c>
      <c r="N1076" s="1575"/>
      <c r="O1076" s="1575">
        <v>0</v>
      </c>
      <c r="P1076" s="1575"/>
      <c r="Q1076" s="1575">
        <v>2863827.92</v>
      </c>
      <c r="R1076" s="1575"/>
      <c r="S1076" s="1575"/>
      <c r="T1076" s="1575"/>
      <c r="U1076" s="1575"/>
    </row>
    <row r="1077" spans="1:21" ht="10.9" customHeight="1">
      <c r="A1077" s="1574" t="s">
        <v>345</v>
      </c>
      <c r="B1077" s="1574"/>
      <c r="C1077" s="1574" t="s">
        <v>3036</v>
      </c>
      <c r="D1077" s="1574"/>
      <c r="E1077" s="1574"/>
      <c r="F1077" s="1574" t="s">
        <v>2314</v>
      </c>
      <c r="G1077" s="1574"/>
      <c r="H1077" s="1574"/>
      <c r="I1077" s="1574"/>
      <c r="J1077" s="1412">
        <v>0</v>
      </c>
      <c r="K1077" s="1412">
        <v>1295819.7</v>
      </c>
      <c r="L1077" s="1412">
        <v>505804.04</v>
      </c>
      <c r="M1077" s="1575">
        <v>0</v>
      </c>
      <c r="N1077" s="1575"/>
      <c r="O1077" s="1575">
        <v>0</v>
      </c>
      <c r="P1077" s="1575"/>
      <c r="Q1077" s="1575">
        <v>790015.66</v>
      </c>
      <c r="R1077" s="1575"/>
      <c r="S1077" s="1575"/>
      <c r="T1077" s="1575"/>
      <c r="U1077" s="1575"/>
    </row>
    <row r="1078" spans="1:21" ht="10.9" customHeight="1">
      <c r="A1078" s="1574" t="s">
        <v>345</v>
      </c>
      <c r="B1078" s="1574"/>
      <c r="C1078" s="1574" t="s">
        <v>3037</v>
      </c>
      <c r="D1078" s="1574"/>
      <c r="E1078" s="1574"/>
      <c r="F1078" s="1574" t="s">
        <v>2315</v>
      </c>
      <c r="G1078" s="1574"/>
      <c r="H1078" s="1574"/>
      <c r="I1078" s="1574"/>
      <c r="J1078" s="1412">
        <v>0</v>
      </c>
      <c r="K1078" s="1412">
        <v>-21995.86</v>
      </c>
      <c r="L1078" s="1412">
        <v>134.43</v>
      </c>
      <c r="M1078" s="1575">
        <v>22130.29</v>
      </c>
      <c r="N1078" s="1575"/>
      <c r="O1078" s="1575">
        <v>0</v>
      </c>
      <c r="P1078" s="1575"/>
      <c r="Q1078" s="1575">
        <v>0</v>
      </c>
      <c r="R1078" s="1575"/>
      <c r="S1078" s="1575"/>
      <c r="T1078" s="1575"/>
      <c r="U1078" s="1575"/>
    </row>
    <row r="1079" spans="1:21" ht="10.9" customHeight="1">
      <c r="A1079" s="1574" t="s">
        <v>345</v>
      </c>
      <c r="B1079" s="1574"/>
      <c r="C1079" s="1574" t="s">
        <v>3038</v>
      </c>
      <c r="D1079" s="1574"/>
      <c r="E1079" s="1574"/>
      <c r="F1079" s="1574" t="s">
        <v>2316</v>
      </c>
      <c r="G1079" s="1574"/>
      <c r="H1079" s="1574"/>
      <c r="I1079" s="1574"/>
      <c r="J1079" s="1412">
        <v>0</v>
      </c>
      <c r="K1079" s="1412">
        <v>704715.15</v>
      </c>
      <c r="L1079" s="1412">
        <v>246618.91</v>
      </c>
      <c r="M1079" s="1575">
        <v>0</v>
      </c>
      <c r="N1079" s="1575"/>
      <c r="O1079" s="1575">
        <v>0</v>
      </c>
      <c r="P1079" s="1575"/>
      <c r="Q1079" s="1575">
        <v>458096.24</v>
      </c>
      <c r="R1079" s="1575"/>
      <c r="S1079" s="1575"/>
      <c r="T1079" s="1575"/>
      <c r="U1079" s="1575"/>
    </row>
    <row r="1080" spans="1:21" ht="10.9" customHeight="1">
      <c r="A1080" s="1574" t="s">
        <v>345</v>
      </c>
      <c r="B1080" s="1574"/>
      <c r="C1080" s="1574" t="s">
        <v>3039</v>
      </c>
      <c r="D1080" s="1574"/>
      <c r="E1080" s="1574"/>
      <c r="F1080" s="1574" t="s">
        <v>2317</v>
      </c>
      <c r="G1080" s="1574"/>
      <c r="H1080" s="1574"/>
      <c r="I1080" s="1574"/>
      <c r="J1080" s="1412">
        <v>0</v>
      </c>
      <c r="K1080" s="1412">
        <v>84635.79</v>
      </c>
      <c r="L1080" s="1412">
        <v>129134.92</v>
      </c>
      <c r="M1080" s="1575">
        <v>44499.13</v>
      </c>
      <c r="N1080" s="1575"/>
      <c r="O1080" s="1575">
        <v>0</v>
      </c>
      <c r="P1080" s="1575"/>
      <c r="Q1080" s="1575">
        <v>0</v>
      </c>
      <c r="R1080" s="1575"/>
      <c r="S1080" s="1575"/>
      <c r="T1080" s="1575"/>
      <c r="U1080" s="1575"/>
    </row>
    <row r="1081" spans="1:21" ht="10.9" customHeight="1">
      <c r="A1081" s="1574" t="s">
        <v>345</v>
      </c>
      <c r="B1081" s="1574"/>
      <c r="C1081" s="1574" t="s">
        <v>5689</v>
      </c>
      <c r="D1081" s="1574"/>
      <c r="E1081" s="1574"/>
      <c r="F1081" s="1574" t="s">
        <v>5688</v>
      </c>
      <c r="G1081" s="1574"/>
      <c r="H1081" s="1574"/>
      <c r="I1081" s="1574"/>
      <c r="J1081" s="1412">
        <v>0</v>
      </c>
      <c r="K1081" s="1412">
        <v>-55417.25</v>
      </c>
      <c r="L1081" s="1412">
        <v>0</v>
      </c>
      <c r="M1081" s="1575">
        <v>55417.25</v>
      </c>
      <c r="N1081" s="1575"/>
      <c r="O1081" s="1575">
        <v>0</v>
      </c>
      <c r="P1081" s="1575"/>
      <c r="Q1081" s="1575">
        <v>0</v>
      </c>
      <c r="R1081" s="1575"/>
      <c r="S1081" s="1575"/>
      <c r="T1081" s="1575"/>
      <c r="U1081" s="1575"/>
    </row>
    <row r="1082" spans="1:21" ht="10.9" customHeight="1">
      <c r="A1082" s="1574" t="s">
        <v>345</v>
      </c>
      <c r="B1082" s="1574"/>
      <c r="C1082" s="1574" t="s">
        <v>3040</v>
      </c>
      <c r="D1082" s="1574"/>
      <c r="E1082" s="1574"/>
      <c r="F1082" s="1574" t="s">
        <v>2318</v>
      </c>
      <c r="G1082" s="1574"/>
      <c r="H1082" s="1574"/>
      <c r="I1082" s="1574"/>
      <c r="J1082" s="1412">
        <v>0</v>
      </c>
      <c r="K1082" s="1412">
        <v>162575.65</v>
      </c>
      <c r="L1082" s="1412">
        <v>25865.95</v>
      </c>
      <c r="M1082" s="1575">
        <v>0</v>
      </c>
      <c r="N1082" s="1575"/>
      <c r="O1082" s="1575">
        <v>0</v>
      </c>
      <c r="P1082" s="1575"/>
      <c r="Q1082" s="1575">
        <v>136709.70000000001</v>
      </c>
      <c r="R1082" s="1575"/>
      <c r="S1082" s="1575"/>
      <c r="T1082" s="1575"/>
      <c r="U1082" s="1575"/>
    </row>
    <row r="1083" spans="1:21" ht="10.9" customHeight="1">
      <c r="A1083" s="1574" t="s">
        <v>345</v>
      </c>
      <c r="B1083" s="1574"/>
      <c r="C1083" s="1574" t="s">
        <v>3041</v>
      </c>
      <c r="D1083" s="1574"/>
      <c r="E1083" s="1574"/>
      <c r="F1083" s="1574" t="s">
        <v>2319</v>
      </c>
      <c r="G1083" s="1574"/>
      <c r="H1083" s="1574"/>
      <c r="I1083" s="1574"/>
      <c r="J1083" s="1412">
        <v>0</v>
      </c>
      <c r="K1083" s="1412">
        <v>-803715.22</v>
      </c>
      <c r="L1083" s="1412">
        <v>396070.29</v>
      </c>
      <c r="M1083" s="1575">
        <v>1199785.51</v>
      </c>
      <c r="N1083" s="1575"/>
      <c r="O1083" s="1575">
        <v>0</v>
      </c>
      <c r="P1083" s="1575"/>
      <c r="Q1083" s="1575">
        <v>0</v>
      </c>
      <c r="R1083" s="1575"/>
      <c r="S1083" s="1575"/>
      <c r="T1083" s="1575"/>
      <c r="U1083" s="1575"/>
    </row>
    <row r="1084" spans="1:21" ht="10.9" customHeight="1">
      <c r="A1084" s="1574" t="s">
        <v>345</v>
      </c>
      <c r="B1084" s="1574"/>
      <c r="C1084" s="1574" t="s">
        <v>3042</v>
      </c>
      <c r="D1084" s="1574"/>
      <c r="E1084" s="1574"/>
      <c r="F1084" s="1574" t="s">
        <v>2320</v>
      </c>
      <c r="G1084" s="1574"/>
      <c r="H1084" s="1574"/>
      <c r="I1084" s="1574"/>
      <c r="J1084" s="1412">
        <v>0</v>
      </c>
      <c r="K1084" s="1412">
        <v>-37106.47</v>
      </c>
      <c r="L1084" s="1412">
        <v>48721.22</v>
      </c>
      <c r="M1084" s="1575">
        <v>85827.69</v>
      </c>
      <c r="N1084" s="1575"/>
      <c r="O1084" s="1575">
        <v>0</v>
      </c>
      <c r="P1084" s="1575"/>
      <c r="Q1084" s="1575">
        <v>0</v>
      </c>
      <c r="R1084" s="1575"/>
      <c r="S1084" s="1575"/>
      <c r="T1084" s="1575"/>
      <c r="U1084" s="1575"/>
    </row>
    <row r="1085" spans="1:21" ht="10.9" customHeight="1">
      <c r="A1085" s="1574" t="s">
        <v>345</v>
      </c>
      <c r="B1085" s="1574"/>
      <c r="C1085" s="1574" t="s">
        <v>5924</v>
      </c>
      <c r="D1085" s="1574"/>
      <c r="E1085" s="1574"/>
      <c r="F1085" s="1574" t="s">
        <v>5919</v>
      </c>
      <c r="G1085" s="1574"/>
      <c r="H1085" s="1574"/>
      <c r="I1085" s="1574"/>
      <c r="J1085" s="1412">
        <v>0</v>
      </c>
      <c r="K1085" s="1412">
        <v>-57826.559999999998</v>
      </c>
      <c r="L1085" s="1412">
        <v>0</v>
      </c>
      <c r="M1085" s="1575">
        <v>57826.559999999998</v>
      </c>
      <c r="N1085" s="1575"/>
      <c r="O1085" s="1575">
        <v>0</v>
      </c>
      <c r="P1085" s="1575"/>
      <c r="Q1085" s="1575">
        <v>0</v>
      </c>
      <c r="R1085" s="1575"/>
      <c r="S1085" s="1575"/>
      <c r="T1085" s="1575"/>
      <c r="U1085" s="1575"/>
    </row>
    <row r="1086" spans="1:21" ht="10.9" customHeight="1">
      <c r="A1086" s="1574" t="s">
        <v>345</v>
      </c>
      <c r="B1086" s="1574"/>
      <c r="C1086" s="1574" t="s">
        <v>3043</v>
      </c>
      <c r="D1086" s="1574"/>
      <c r="E1086" s="1574"/>
      <c r="F1086" s="1574" t="s">
        <v>2321</v>
      </c>
      <c r="G1086" s="1574"/>
      <c r="H1086" s="1574"/>
      <c r="I1086" s="1574"/>
      <c r="J1086" s="1412">
        <v>0</v>
      </c>
      <c r="K1086" s="1412">
        <v>-7930.12</v>
      </c>
      <c r="L1086" s="1412">
        <v>28279.56</v>
      </c>
      <c r="M1086" s="1575">
        <v>36209.68</v>
      </c>
      <c r="N1086" s="1575"/>
      <c r="O1086" s="1575">
        <v>0</v>
      </c>
      <c r="P1086" s="1575"/>
      <c r="Q1086" s="1575">
        <v>0</v>
      </c>
      <c r="R1086" s="1575"/>
      <c r="S1086" s="1575"/>
      <c r="T1086" s="1575"/>
      <c r="U1086" s="1575"/>
    </row>
    <row r="1087" spans="1:21" ht="10.9" customHeight="1">
      <c r="A1087" s="1574" t="s">
        <v>345</v>
      </c>
      <c r="B1087" s="1574"/>
      <c r="C1087" s="1574" t="s">
        <v>3044</v>
      </c>
      <c r="D1087" s="1574"/>
      <c r="E1087" s="1574"/>
      <c r="F1087" s="1574" t="s">
        <v>2322</v>
      </c>
      <c r="G1087" s="1574"/>
      <c r="H1087" s="1574"/>
      <c r="I1087" s="1574"/>
      <c r="J1087" s="1412">
        <v>0</v>
      </c>
      <c r="K1087" s="1412">
        <v>37064.15</v>
      </c>
      <c r="L1087" s="1412">
        <v>22129.66</v>
      </c>
      <c r="M1087" s="1575">
        <v>0</v>
      </c>
      <c r="N1087" s="1575"/>
      <c r="O1087" s="1575">
        <v>0</v>
      </c>
      <c r="P1087" s="1575"/>
      <c r="Q1087" s="1575">
        <v>14934.49</v>
      </c>
      <c r="R1087" s="1575"/>
      <c r="S1087" s="1575"/>
      <c r="T1087" s="1575"/>
      <c r="U1087" s="1575"/>
    </row>
    <row r="1088" spans="1:21" ht="10.9" customHeight="1">
      <c r="A1088" s="1574" t="s">
        <v>345</v>
      </c>
      <c r="B1088" s="1574"/>
      <c r="C1088" s="1574" t="s">
        <v>6199</v>
      </c>
      <c r="D1088" s="1574"/>
      <c r="E1088" s="1574"/>
      <c r="F1088" s="1574" t="s">
        <v>6197</v>
      </c>
      <c r="G1088" s="1574"/>
      <c r="H1088" s="1574"/>
      <c r="I1088" s="1574"/>
      <c r="J1088" s="1412">
        <v>0</v>
      </c>
      <c r="K1088" s="1412">
        <v>-537.72</v>
      </c>
      <c r="L1088" s="1412">
        <v>0</v>
      </c>
      <c r="M1088" s="1575">
        <v>537.72</v>
      </c>
      <c r="N1088" s="1575"/>
      <c r="O1088" s="1575">
        <v>0</v>
      </c>
      <c r="P1088" s="1575"/>
      <c r="Q1088" s="1575">
        <v>0</v>
      </c>
      <c r="R1088" s="1575"/>
      <c r="S1088" s="1575"/>
      <c r="T1088" s="1575"/>
      <c r="U1088" s="1575"/>
    </row>
    <row r="1089" spans="1:23" ht="10.9" customHeight="1">
      <c r="A1089" s="1574" t="s">
        <v>345</v>
      </c>
      <c r="B1089" s="1574"/>
      <c r="C1089" s="1574" t="s">
        <v>3045</v>
      </c>
      <c r="D1089" s="1574"/>
      <c r="E1089" s="1574"/>
      <c r="F1089" s="1574" t="s">
        <v>2383</v>
      </c>
      <c r="G1089" s="1574"/>
      <c r="H1089" s="1574"/>
      <c r="I1089" s="1574"/>
      <c r="J1089" s="1412">
        <v>0</v>
      </c>
      <c r="K1089" s="1412">
        <v>250043.71</v>
      </c>
      <c r="L1089" s="1412">
        <v>78157.399999999994</v>
      </c>
      <c r="M1089" s="1575">
        <v>0</v>
      </c>
      <c r="N1089" s="1575"/>
      <c r="O1089" s="1575">
        <v>0</v>
      </c>
      <c r="P1089" s="1575"/>
      <c r="Q1089" s="1575">
        <v>171886.31</v>
      </c>
      <c r="R1089" s="1575"/>
      <c r="S1089" s="1575"/>
      <c r="T1089" s="1575"/>
      <c r="U1089" s="1575"/>
    </row>
    <row r="1090" spans="1:23" ht="10.9" customHeight="1">
      <c r="A1090" s="1574" t="s">
        <v>345</v>
      </c>
      <c r="B1090" s="1574"/>
      <c r="C1090" s="1574" t="s">
        <v>3046</v>
      </c>
      <c r="D1090" s="1574"/>
      <c r="E1090" s="1574"/>
      <c r="F1090" s="1574" t="s">
        <v>2323</v>
      </c>
      <c r="G1090" s="1574"/>
      <c r="H1090" s="1574"/>
      <c r="I1090" s="1574"/>
      <c r="J1090" s="1412">
        <v>0</v>
      </c>
      <c r="K1090" s="1412">
        <v>185920.98</v>
      </c>
      <c r="L1090" s="1412">
        <v>143723.85</v>
      </c>
      <c r="M1090" s="1575">
        <v>0</v>
      </c>
      <c r="N1090" s="1575"/>
      <c r="O1090" s="1575">
        <v>0</v>
      </c>
      <c r="P1090" s="1575"/>
      <c r="Q1090" s="1575">
        <v>42197.13</v>
      </c>
      <c r="R1090" s="1575"/>
      <c r="S1090" s="1575"/>
      <c r="T1090" s="1575"/>
      <c r="U1090" s="1575"/>
    </row>
    <row r="1091" spans="1:23" ht="10.9" customHeight="1">
      <c r="A1091" s="1574" t="s">
        <v>345</v>
      </c>
      <c r="B1091" s="1574"/>
      <c r="C1091" s="1574" t="s">
        <v>6553</v>
      </c>
      <c r="D1091" s="1574"/>
      <c r="E1091" s="1574"/>
      <c r="F1091" s="1574" t="s">
        <v>6551</v>
      </c>
      <c r="G1091" s="1574"/>
      <c r="H1091" s="1574"/>
      <c r="I1091" s="1574"/>
      <c r="J1091" s="1412">
        <v>0</v>
      </c>
      <c r="K1091" s="1412">
        <v>-25352.19</v>
      </c>
      <c r="L1091" s="1412">
        <v>0</v>
      </c>
      <c r="M1091" s="1575">
        <v>25352.19</v>
      </c>
      <c r="N1091" s="1575"/>
      <c r="O1091" s="1575">
        <v>0</v>
      </c>
      <c r="P1091" s="1575"/>
      <c r="Q1091" s="1575">
        <v>0</v>
      </c>
      <c r="R1091" s="1575"/>
      <c r="S1091" s="1575"/>
      <c r="T1091" s="1575"/>
      <c r="U1091" s="1575"/>
    </row>
    <row r="1092" spans="1:23" ht="19.149999999999999" customHeight="1">
      <c r="A1092" s="1574" t="s">
        <v>345</v>
      </c>
      <c r="B1092" s="1574"/>
      <c r="C1092" s="1574" t="s">
        <v>3047</v>
      </c>
      <c r="D1092" s="1574"/>
      <c r="E1092" s="1574"/>
      <c r="F1092" s="1574" t="s">
        <v>3002</v>
      </c>
      <c r="G1092" s="1574"/>
      <c r="H1092" s="1574"/>
      <c r="I1092" s="1574"/>
      <c r="J1092" s="1412">
        <v>0</v>
      </c>
      <c r="K1092" s="1412">
        <v>-187864.76</v>
      </c>
      <c r="L1092" s="1412">
        <v>125181.44</v>
      </c>
      <c r="M1092" s="1575">
        <v>364159</v>
      </c>
      <c r="N1092" s="1575"/>
      <c r="O1092" s="1575">
        <v>0</v>
      </c>
      <c r="P1092" s="1575"/>
      <c r="Q1092" s="1575">
        <v>51112.800000000003</v>
      </c>
      <c r="R1092" s="1575"/>
      <c r="S1092" s="1575"/>
      <c r="T1092" s="1575"/>
      <c r="U1092" s="1575"/>
    </row>
    <row r="1093" spans="1:23" ht="10.9" customHeight="1">
      <c r="A1093" s="1574" t="s">
        <v>345</v>
      </c>
      <c r="B1093" s="1574"/>
      <c r="C1093" s="1574" t="s">
        <v>3048</v>
      </c>
      <c r="D1093" s="1574"/>
      <c r="E1093" s="1574"/>
      <c r="F1093" s="1574" t="s">
        <v>0</v>
      </c>
      <c r="G1093" s="1574"/>
      <c r="H1093" s="1574"/>
      <c r="I1093" s="1574"/>
      <c r="J1093" s="1412">
        <v>0</v>
      </c>
      <c r="K1093" s="1412">
        <v>-258163.46</v>
      </c>
      <c r="L1093" s="1412">
        <v>105995.54</v>
      </c>
      <c r="M1093" s="1575">
        <v>364159</v>
      </c>
      <c r="N1093" s="1575"/>
      <c r="O1093" s="1575">
        <v>0</v>
      </c>
      <c r="P1093" s="1575"/>
      <c r="Q1093" s="1575">
        <v>0</v>
      </c>
      <c r="R1093" s="1575"/>
      <c r="S1093" s="1575"/>
      <c r="T1093" s="1575"/>
      <c r="U1093" s="1575"/>
    </row>
    <row r="1094" spans="1:23" ht="10.9" customHeight="1">
      <c r="A1094" s="1574" t="s">
        <v>345</v>
      </c>
      <c r="B1094" s="1574"/>
      <c r="C1094" s="1574" t="s">
        <v>3173</v>
      </c>
      <c r="D1094" s="1574"/>
      <c r="E1094" s="1574"/>
      <c r="F1094" s="1574" t="s">
        <v>3172</v>
      </c>
      <c r="G1094" s="1574"/>
      <c r="H1094" s="1574"/>
      <c r="I1094" s="1574"/>
      <c r="J1094" s="1412">
        <v>0</v>
      </c>
      <c r="K1094" s="1412">
        <v>70298.7</v>
      </c>
      <c r="L1094" s="1412">
        <v>19185.900000000001</v>
      </c>
      <c r="M1094" s="1575">
        <v>0</v>
      </c>
      <c r="N1094" s="1575"/>
      <c r="O1094" s="1575">
        <v>0</v>
      </c>
      <c r="P1094" s="1575"/>
      <c r="Q1094" s="1575">
        <v>51112.800000000003</v>
      </c>
      <c r="R1094" s="1575"/>
      <c r="S1094" s="1575"/>
      <c r="T1094" s="1575"/>
      <c r="U1094" s="1575"/>
    </row>
    <row r="1095" spans="1:23" ht="19.149999999999999" customHeight="1">
      <c r="A1095" s="1574" t="s">
        <v>345</v>
      </c>
      <c r="B1095" s="1574"/>
      <c r="C1095" s="1574" t="s">
        <v>3049</v>
      </c>
      <c r="D1095" s="1574"/>
      <c r="E1095" s="1574"/>
      <c r="F1095" s="1574" t="s">
        <v>2993</v>
      </c>
      <c r="G1095" s="1574"/>
      <c r="H1095" s="1574"/>
      <c r="I1095" s="1574"/>
      <c r="J1095" s="1412">
        <v>0</v>
      </c>
      <c r="K1095" s="1412">
        <v>-3777619.09</v>
      </c>
      <c r="L1095" s="1412">
        <v>817191.3</v>
      </c>
      <c r="M1095" s="1575">
        <v>4594810.3899999997</v>
      </c>
      <c r="N1095" s="1575"/>
      <c r="O1095" s="1575">
        <v>0</v>
      </c>
      <c r="P1095" s="1575"/>
      <c r="Q1095" s="1575">
        <v>0</v>
      </c>
      <c r="R1095" s="1575"/>
      <c r="S1095" s="1575"/>
      <c r="T1095" s="1575"/>
      <c r="U1095" s="1575"/>
    </row>
    <row r="1096" spans="1:23" ht="10.9" customHeight="1">
      <c r="A1096" s="1574" t="s">
        <v>345</v>
      </c>
      <c r="B1096" s="1574"/>
      <c r="C1096" s="1574" t="s">
        <v>3050</v>
      </c>
      <c r="D1096" s="1574"/>
      <c r="E1096" s="1574"/>
      <c r="F1096" s="1574" t="s">
        <v>2328</v>
      </c>
      <c r="G1096" s="1574"/>
      <c r="H1096" s="1574"/>
      <c r="I1096" s="1574"/>
      <c r="J1096" s="1412">
        <v>0</v>
      </c>
      <c r="K1096" s="1412">
        <v>-3330328.24</v>
      </c>
      <c r="L1096" s="1412">
        <v>761906.14</v>
      </c>
      <c r="M1096" s="1575">
        <v>4092234.38</v>
      </c>
      <c r="N1096" s="1575"/>
      <c r="O1096" s="1575">
        <v>0</v>
      </c>
      <c r="P1096" s="1575"/>
      <c r="Q1096" s="1575">
        <v>0</v>
      </c>
      <c r="R1096" s="1575"/>
      <c r="S1096" s="1575"/>
      <c r="T1096" s="1575"/>
      <c r="U1096" s="1575"/>
    </row>
    <row r="1097" spans="1:23" ht="10.9" customHeight="1">
      <c r="A1097" s="1574" t="s">
        <v>345</v>
      </c>
      <c r="B1097" s="1574"/>
      <c r="C1097" s="1574" t="s">
        <v>3051</v>
      </c>
      <c r="D1097" s="1574"/>
      <c r="E1097" s="1574"/>
      <c r="F1097" s="1574" t="s">
        <v>2329</v>
      </c>
      <c r="G1097" s="1574"/>
      <c r="H1097" s="1574"/>
      <c r="I1097" s="1574"/>
      <c r="J1097" s="1412">
        <v>0</v>
      </c>
      <c r="K1097" s="1412">
        <v>-274295.62</v>
      </c>
      <c r="L1097" s="1412">
        <v>55285.16</v>
      </c>
      <c r="M1097" s="1575">
        <v>329580.78000000003</v>
      </c>
      <c r="N1097" s="1575"/>
      <c r="O1097" s="1575">
        <v>0</v>
      </c>
      <c r="P1097" s="1575"/>
      <c r="Q1097" s="1575">
        <v>0</v>
      </c>
      <c r="R1097" s="1575"/>
      <c r="S1097" s="1575"/>
      <c r="T1097" s="1575"/>
      <c r="U1097" s="1575"/>
    </row>
    <row r="1098" spans="1:23" ht="10.9" customHeight="1">
      <c r="A1098" s="1574" t="s">
        <v>345</v>
      </c>
      <c r="B1098" s="1574"/>
      <c r="C1098" s="1574" t="s">
        <v>3318</v>
      </c>
      <c r="D1098" s="1574"/>
      <c r="E1098" s="1574"/>
      <c r="F1098" s="1574" t="s">
        <v>3311</v>
      </c>
      <c r="G1098" s="1574"/>
      <c r="H1098" s="1574"/>
      <c r="I1098" s="1574"/>
      <c r="J1098" s="1412">
        <v>0</v>
      </c>
      <c r="K1098" s="1412">
        <v>-172995.23</v>
      </c>
      <c r="L1098" s="1412">
        <v>0</v>
      </c>
      <c r="M1098" s="1575">
        <v>172995.23</v>
      </c>
      <c r="N1098" s="1575"/>
      <c r="O1098" s="1575">
        <v>0</v>
      </c>
      <c r="P1098" s="1575"/>
      <c r="Q1098" s="1575">
        <v>0</v>
      </c>
      <c r="R1098" s="1575"/>
      <c r="S1098" s="1575"/>
      <c r="T1098" s="1575"/>
      <c r="U1098" s="1575"/>
    </row>
    <row r="1099" spans="1:23" ht="10.9" customHeight="1">
      <c r="A1099" s="1574" t="s">
        <v>345</v>
      </c>
      <c r="B1099" s="1574"/>
      <c r="C1099" s="1574" t="s">
        <v>3052</v>
      </c>
      <c r="D1099" s="1574"/>
      <c r="E1099" s="1574"/>
      <c r="F1099" s="1574" t="s">
        <v>2995</v>
      </c>
      <c r="G1099" s="1574"/>
      <c r="H1099" s="1574"/>
      <c r="I1099" s="1574"/>
      <c r="J1099" s="1412">
        <v>0</v>
      </c>
      <c r="K1099" s="1412">
        <v>-28100.87</v>
      </c>
      <c r="L1099" s="1412">
        <v>0</v>
      </c>
      <c r="M1099" s="1575">
        <v>0</v>
      </c>
      <c r="N1099" s="1575"/>
      <c r="O1099" s="1575">
        <v>0</v>
      </c>
      <c r="P1099" s="1575"/>
      <c r="Q1099" s="1575">
        <v>-28100.87</v>
      </c>
      <c r="R1099" s="1575"/>
      <c r="S1099" s="1575"/>
      <c r="T1099" s="1575"/>
      <c r="U1099" s="1575"/>
    </row>
    <row r="1100" spans="1:23" ht="10.9" customHeight="1">
      <c r="A1100" s="1574" t="s">
        <v>345</v>
      </c>
      <c r="B1100" s="1574"/>
      <c r="C1100" s="1574" t="s">
        <v>5974</v>
      </c>
      <c r="D1100" s="1574"/>
      <c r="E1100" s="1574"/>
      <c r="F1100" s="1574" t="s">
        <v>5972</v>
      </c>
      <c r="G1100" s="1574"/>
      <c r="H1100" s="1574"/>
      <c r="I1100" s="1574"/>
      <c r="J1100" s="1412">
        <v>0</v>
      </c>
      <c r="K1100" s="1412">
        <v>-17.46</v>
      </c>
      <c r="L1100" s="1412">
        <v>0</v>
      </c>
      <c r="M1100" s="1575">
        <v>0</v>
      </c>
      <c r="N1100" s="1575"/>
      <c r="O1100" s="1575">
        <v>0</v>
      </c>
      <c r="P1100" s="1575"/>
      <c r="Q1100" s="1575">
        <v>-17.46</v>
      </c>
      <c r="R1100" s="1575"/>
      <c r="S1100" s="1575"/>
      <c r="T1100" s="1575"/>
      <c r="U1100" s="1575"/>
    </row>
    <row r="1101" spans="1:23" ht="10.9" customHeight="1">
      <c r="A1101" s="1574" t="s">
        <v>345</v>
      </c>
      <c r="B1101" s="1574"/>
      <c r="C1101" s="1574" t="s">
        <v>3053</v>
      </c>
      <c r="D1101" s="1574"/>
      <c r="E1101" s="1574"/>
      <c r="F1101" s="1574" t="s">
        <v>2331</v>
      </c>
      <c r="G1101" s="1574"/>
      <c r="H1101" s="1574"/>
      <c r="I1101" s="1574"/>
      <c r="J1101" s="1412">
        <v>0</v>
      </c>
      <c r="K1101" s="1412">
        <v>-28083.41</v>
      </c>
      <c r="L1101" s="1412">
        <v>0</v>
      </c>
      <c r="M1101" s="1575">
        <v>0</v>
      </c>
      <c r="N1101" s="1575"/>
      <c r="O1101" s="1575">
        <v>0</v>
      </c>
      <c r="P1101" s="1575"/>
      <c r="Q1101" s="1575">
        <v>-28083.41</v>
      </c>
      <c r="R1101" s="1575"/>
      <c r="S1101" s="1575"/>
      <c r="T1101" s="1575"/>
      <c r="U1101" s="1575"/>
    </row>
    <row r="1102" spans="1:23" ht="10.9" customHeight="1">
      <c r="A1102" s="1574" t="s">
        <v>1322</v>
      </c>
      <c r="B1102" s="1574"/>
      <c r="C1102" s="1574" t="s">
        <v>7037</v>
      </c>
      <c r="D1102" s="1574"/>
      <c r="E1102" s="1574"/>
      <c r="F1102" s="1574" t="s">
        <v>7038</v>
      </c>
      <c r="G1102" s="1574"/>
      <c r="H1102" s="1574"/>
      <c r="I1102" s="1574"/>
      <c r="J1102" s="1412">
        <v>0</v>
      </c>
      <c r="K1102" s="1412">
        <v>0</v>
      </c>
      <c r="L1102" s="1412">
        <v>6486555.4100000001</v>
      </c>
      <c r="M1102" s="1575">
        <v>0</v>
      </c>
      <c r="N1102" s="1575"/>
      <c r="O1102" s="1575">
        <v>6486555.4100000001</v>
      </c>
      <c r="P1102" s="1575"/>
      <c r="Q1102" s="1575">
        <v>0</v>
      </c>
      <c r="R1102" s="1575"/>
      <c r="S1102" s="1575"/>
      <c r="T1102" s="1575"/>
      <c r="U1102" s="1575"/>
    </row>
    <row r="1103" spans="1:23" ht="16.7" customHeight="1"/>
    <row r="1104" spans="1:23" ht="14.1" customHeight="1">
      <c r="S1104" s="1573" t="s">
        <v>2667</v>
      </c>
      <c r="T1104" s="1573"/>
      <c r="U1104" s="1573"/>
      <c r="V1104" s="1573"/>
      <c r="W1104" s="1573"/>
    </row>
    <row r="1105" spans="1:23" ht="7.15" customHeight="1">
      <c r="C1105" s="1586" t="s">
        <v>2987</v>
      </c>
      <c r="D1105" s="1586"/>
      <c r="E1105" s="1586"/>
      <c r="F1105" s="1586"/>
      <c r="G1105" s="1586"/>
      <c r="H1105" s="1586"/>
      <c r="I1105" s="1586"/>
      <c r="J1105" s="1586"/>
      <c r="K1105" s="1586"/>
      <c r="L1105" s="1586"/>
      <c r="M1105" s="1586"/>
      <c r="N1105" s="1586"/>
      <c r="O1105" s="1586"/>
      <c r="P1105" s="1586"/>
      <c r="Q1105" s="1586"/>
      <c r="R1105" s="1586"/>
      <c r="S1105" s="1586"/>
      <c r="T1105" s="1586"/>
    </row>
    <row r="1106" spans="1:23" ht="9.6" customHeight="1">
      <c r="A1106" s="1587"/>
      <c r="B1106" s="1587"/>
      <c r="C1106" s="1587"/>
      <c r="D1106" s="1587"/>
      <c r="E1106" s="1587"/>
      <c r="F1106" s="1587"/>
      <c r="G1106" s="1586"/>
      <c r="H1106" s="1586"/>
      <c r="I1106" s="1586"/>
      <c r="J1106" s="1586"/>
      <c r="K1106" s="1586"/>
      <c r="L1106" s="1586"/>
      <c r="M1106" s="1586"/>
      <c r="N1106" s="1586"/>
      <c r="O1106" s="1586"/>
      <c r="P1106" s="1586"/>
      <c r="Q1106" s="1586"/>
      <c r="R1106" s="1586"/>
      <c r="S1106" s="1586"/>
      <c r="T1106" s="1586"/>
    </row>
    <row r="1107" spans="1:23" ht="13.35" customHeight="1">
      <c r="A1107" s="1587"/>
      <c r="B1107" s="1587"/>
      <c r="C1107" s="1587"/>
      <c r="D1107" s="1587"/>
      <c r="E1107" s="1587"/>
      <c r="F1107" s="1587"/>
      <c r="G1107" s="1588" t="s">
        <v>79</v>
      </c>
      <c r="H1107" s="1588"/>
      <c r="I1107" s="1588"/>
      <c r="J1107" s="1588"/>
      <c r="K1107" s="1588"/>
      <c r="L1107" s="1588"/>
      <c r="M1107" s="1588"/>
      <c r="N1107" s="1588"/>
      <c r="O1107" s="1588"/>
      <c r="P1107" s="1588"/>
      <c r="Q1107" s="1588"/>
      <c r="R1107" s="1588"/>
    </row>
    <row r="1108" spans="1:23" ht="5.25" customHeight="1">
      <c r="A1108" s="1587"/>
      <c r="B1108" s="1587"/>
      <c r="C1108" s="1587"/>
      <c r="D1108" s="1587"/>
      <c r="E1108" s="1587"/>
      <c r="F1108" s="1587"/>
      <c r="G1108" s="1581" t="s">
        <v>7015</v>
      </c>
      <c r="H1108" s="1581"/>
      <c r="I1108" s="1581"/>
      <c r="J1108" s="1581"/>
      <c r="K1108" s="1581"/>
      <c r="L1108" s="1581"/>
      <c r="M1108" s="1581"/>
      <c r="N1108" s="1581"/>
      <c r="O1108" s="1581"/>
      <c r="P1108" s="1581"/>
      <c r="Q1108" s="1581"/>
    </row>
    <row r="1109" spans="1:23" ht="8.1" customHeight="1">
      <c r="B1109" s="1580" t="s">
        <v>1916</v>
      </c>
      <c r="C1109" s="1580"/>
      <c r="D1109" s="1580"/>
      <c r="E1109" s="1580"/>
      <c r="F1109" s="1580"/>
      <c r="G1109" s="1580"/>
      <c r="H1109" s="1581"/>
      <c r="I1109" s="1581"/>
      <c r="J1109" s="1581"/>
      <c r="K1109" s="1581"/>
      <c r="L1109" s="1581"/>
      <c r="M1109" s="1581"/>
      <c r="N1109" s="1582" t="s">
        <v>5619</v>
      </c>
      <c r="O1109" s="1582"/>
      <c r="P1109" s="1582"/>
      <c r="Q1109" s="1582"/>
      <c r="R1109" s="1582"/>
      <c r="S1109" s="1582"/>
      <c r="T1109" s="1583" t="s">
        <v>7016</v>
      </c>
      <c r="U1109" s="1583"/>
      <c r="V1109" s="1583"/>
      <c r="W1109" s="1583"/>
    </row>
    <row r="1110" spans="1:23" ht="6" customHeight="1">
      <c r="B1110" s="1580"/>
      <c r="C1110" s="1580"/>
      <c r="D1110" s="1580"/>
      <c r="E1110" s="1580"/>
      <c r="F1110" s="1580"/>
      <c r="G1110" s="1580"/>
      <c r="H1110" s="1584" t="s">
        <v>7017</v>
      </c>
      <c r="I1110" s="1584"/>
      <c r="J1110" s="1584"/>
      <c r="K1110" s="1584"/>
      <c r="L1110" s="1584"/>
      <c r="M1110" s="1584"/>
      <c r="N1110" s="1582"/>
      <c r="O1110" s="1582"/>
      <c r="P1110" s="1582"/>
      <c r="Q1110" s="1582"/>
      <c r="R1110" s="1582"/>
      <c r="S1110" s="1582"/>
      <c r="T1110" s="1583"/>
      <c r="U1110" s="1583"/>
      <c r="V1110" s="1583"/>
      <c r="W1110" s="1583"/>
    </row>
    <row r="1111" spans="1:23" ht="7.35" customHeight="1">
      <c r="B1111" s="1580" t="s">
        <v>1994</v>
      </c>
      <c r="C1111" s="1580"/>
      <c r="D1111" s="1580"/>
      <c r="E1111" s="1585"/>
      <c r="F1111" s="1585"/>
      <c r="G1111" s="1585"/>
      <c r="H1111" s="1585"/>
      <c r="I1111" s="1585"/>
      <c r="J1111" s="1585"/>
      <c r="K1111" s="1585"/>
      <c r="L1111" s="1585"/>
      <c r="M1111" s="1585"/>
      <c r="N1111" s="1585"/>
      <c r="O1111" s="1585"/>
      <c r="P1111" s="1585"/>
      <c r="Q1111" s="1585"/>
      <c r="R1111" s="1582"/>
      <c r="S1111" s="1582"/>
      <c r="T1111" s="1582" t="s">
        <v>7018</v>
      </c>
      <c r="U1111" s="1582"/>
    </row>
    <row r="1112" spans="1:23" ht="6.75" customHeight="1">
      <c r="E1112" s="1585"/>
      <c r="F1112" s="1585"/>
      <c r="G1112" s="1585"/>
      <c r="H1112" s="1585"/>
      <c r="I1112" s="1585"/>
      <c r="J1112" s="1585"/>
      <c r="K1112" s="1585"/>
      <c r="L1112" s="1585"/>
      <c r="M1112" s="1585"/>
      <c r="N1112" s="1585"/>
      <c r="O1112" s="1585"/>
      <c r="P1112" s="1585"/>
      <c r="Q1112" s="1585"/>
      <c r="R1112" s="1582"/>
      <c r="S1112" s="1582"/>
      <c r="T1112" s="1582"/>
      <c r="U1112" s="1582"/>
    </row>
    <row r="1113" spans="1:23" ht="10.9" customHeight="1">
      <c r="A1113" s="1576"/>
      <c r="B1113" s="1576"/>
      <c r="C1113" s="1576"/>
      <c r="D1113" s="1576"/>
      <c r="E1113" s="1576"/>
      <c r="F1113" s="1576"/>
      <c r="G1113" s="1576"/>
      <c r="H1113" s="1576"/>
      <c r="I1113" s="1576"/>
      <c r="J1113" s="1577" t="s">
        <v>1314</v>
      </c>
      <c r="K1113" s="1577"/>
      <c r="L1113" s="1577" t="s">
        <v>1315</v>
      </c>
      <c r="M1113" s="1577"/>
      <c r="N1113" s="1577"/>
      <c r="O1113" s="1577" t="s">
        <v>1316</v>
      </c>
      <c r="P1113" s="1577"/>
      <c r="Q1113" s="1577"/>
      <c r="R1113" s="1577"/>
      <c r="S1113" s="1577"/>
      <c r="T1113" s="1577"/>
      <c r="U1113" s="1577"/>
    </row>
    <row r="1114" spans="1:23" ht="14.1" customHeight="1">
      <c r="A1114" s="1578" t="s">
        <v>1317</v>
      </c>
      <c r="B1114" s="1578"/>
      <c r="C1114" s="1578" t="s">
        <v>1318</v>
      </c>
      <c r="D1114" s="1578"/>
      <c r="E1114" s="1578"/>
      <c r="F1114" s="1578" t="s">
        <v>1319</v>
      </c>
      <c r="G1114" s="1578"/>
      <c r="H1114" s="1578"/>
      <c r="I1114" s="1578"/>
      <c r="J1114" s="1413" t="s">
        <v>1320</v>
      </c>
      <c r="K1114" s="1413" t="s">
        <v>1321</v>
      </c>
      <c r="L1114" s="1413" t="s">
        <v>1320</v>
      </c>
      <c r="M1114" s="1579" t="s">
        <v>1321</v>
      </c>
      <c r="N1114" s="1579"/>
      <c r="O1114" s="1579" t="s">
        <v>1320</v>
      </c>
      <c r="P1114" s="1579"/>
      <c r="Q1114" s="1579" t="s">
        <v>1321</v>
      </c>
      <c r="R1114" s="1579"/>
      <c r="S1114" s="1579"/>
      <c r="T1114" s="1579"/>
      <c r="U1114" s="1579"/>
    </row>
    <row r="1115" spans="1:23" ht="30.6" customHeight="1">
      <c r="A1115" s="1574" t="s">
        <v>1322</v>
      </c>
      <c r="B1115" s="1574"/>
      <c r="C1115" s="1574" t="s">
        <v>7039</v>
      </c>
      <c r="D1115" s="1574"/>
      <c r="E1115" s="1574"/>
      <c r="F1115" s="1574" t="s">
        <v>2991</v>
      </c>
      <c r="G1115" s="1574"/>
      <c r="H1115" s="1574"/>
      <c r="I1115" s="1574"/>
      <c r="J1115" s="1412">
        <v>0</v>
      </c>
      <c r="K1115" s="1412">
        <v>0</v>
      </c>
      <c r="L1115" s="1412">
        <v>1891745.02</v>
      </c>
      <c r="M1115" s="1575">
        <v>0</v>
      </c>
      <c r="N1115" s="1575"/>
      <c r="O1115" s="1575">
        <v>1891745.02</v>
      </c>
      <c r="P1115" s="1575"/>
      <c r="Q1115" s="1575">
        <v>0</v>
      </c>
      <c r="R1115" s="1575"/>
      <c r="S1115" s="1575"/>
      <c r="T1115" s="1575"/>
      <c r="U1115" s="1575"/>
    </row>
    <row r="1116" spans="1:23" ht="19.149999999999999" customHeight="1">
      <c r="A1116" s="1574" t="s">
        <v>1322</v>
      </c>
      <c r="B1116" s="1574"/>
      <c r="C1116" s="1574" t="s">
        <v>7040</v>
      </c>
      <c r="D1116" s="1574"/>
      <c r="E1116" s="1574"/>
      <c r="F1116" s="1574" t="s">
        <v>3002</v>
      </c>
      <c r="G1116" s="1574"/>
      <c r="H1116" s="1574"/>
      <c r="I1116" s="1574"/>
      <c r="J1116" s="1412">
        <v>0</v>
      </c>
      <c r="K1116" s="1412">
        <v>0</v>
      </c>
      <c r="L1116" s="1412">
        <v>1527586.02</v>
      </c>
      <c r="M1116" s="1575">
        <v>0</v>
      </c>
      <c r="N1116" s="1575"/>
      <c r="O1116" s="1575">
        <v>1527586.02</v>
      </c>
      <c r="P1116" s="1575"/>
      <c r="Q1116" s="1575">
        <v>0</v>
      </c>
      <c r="R1116" s="1575"/>
      <c r="S1116" s="1575"/>
      <c r="T1116" s="1575"/>
      <c r="U1116" s="1575"/>
    </row>
    <row r="1117" spans="1:23" ht="10.9" customHeight="1">
      <c r="A1117" s="1574" t="s">
        <v>1322</v>
      </c>
      <c r="B1117" s="1574"/>
      <c r="C1117" s="1574" t="s">
        <v>7041</v>
      </c>
      <c r="D1117" s="1574"/>
      <c r="E1117" s="1574"/>
      <c r="F1117" s="1574" t="s">
        <v>2315</v>
      </c>
      <c r="G1117" s="1574"/>
      <c r="H1117" s="1574"/>
      <c r="I1117" s="1574"/>
      <c r="J1117" s="1412">
        <v>0</v>
      </c>
      <c r="K1117" s="1412">
        <v>0</v>
      </c>
      <c r="L1117" s="1412">
        <v>22130.29</v>
      </c>
      <c r="M1117" s="1575">
        <v>0</v>
      </c>
      <c r="N1117" s="1575"/>
      <c r="O1117" s="1575">
        <v>22130.29</v>
      </c>
      <c r="P1117" s="1575"/>
      <c r="Q1117" s="1575">
        <v>0</v>
      </c>
      <c r="R1117" s="1575"/>
      <c r="S1117" s="1575"/>
      <c r="T1117" s="1575"/>
      <c r="U1117" s="1575"/>
    </row>
    <row r="1118" spans="1:23" ht="10.9" customHeight="1">
      <c r="A1118" s="1574" t="s">
        <v>1322</v>
      </c>
      <c r="B1118" s="1574"/>
      <c r="C1118" s="1574" t="s">
        <v>7042</v>
      </c>
      <c r="D1118" s="1574"/>
      <c r="E1118" s="1574"/>
      <c r="F1118" s="1574" t="s">
        <v>2317</v>
      </c>
      <c r="G1118" s="1574"/>
      <c r="H1118" s="1574"/>
      <c r="I1118" s="1574"/>
      <c r="J1118" s="1412">
        <v>0</v>
      </c>
      <c r="K1118" s="1412">
        <v>0</v>
      </c>
      <c r="L1118" s="1412">
        <v>44499.13</v>
      </c>
      <c r="M1118" s="1575">
        <v>0</v>
      </c>
      <c r="N1118" s="1575"/>
      <c r="O1118" s="1575">
        <v>44499.13</v>
      </c>
      <c r="P1118" s="1575"/>
      <c r="Q1118" s="1575">
        <v>0</v>
      </c>
      <c r="R1118" s="1575"/>
      <c r="S1118" s="1575"/>
      <c r="T1118" s="1575"/>
      <c r="U1118" s="1575"/>
    </row>
    <row r="1119" spans="1:23" ht="10.9" customHeight="1">
      <c r="A1119" s="1574" t="s">
        <v>1322</v>
      </c>
      <c r="B1119" s="1574"/>
      <c r="C1119" s="1574" t="s">
        <v>7043</v>
      </c>
      <c r="D1119" s="1574"/>
      <c r="E1119" s="1574"/>
      <c r="F1119" s="1574" t="s">
        <v>5688</v>
      </c>
      <c r="G1119" s="1574"/>
      <c r="H1119" s="1574"/>
      <c r="I1119" s="1574"/>
      <c r="J1119" s="1412">
        <v>0</v>
      </c>
      <c r="K1119" s="1412">
        <v>0</v>
      </c>
      <c r="L1119" s="1412">
        <v>55417.25</v>
      </c>
      <c r="M1119" s="1575">
        <v>0</v>
      </c>
      <c r="N1119" s="1575"/>
      <c r="O1119" s="1575">
        <v>55417.25</v>
      </c>
      <c r="P1119" s="1575"/>
      <c r="Q1119" s="1575">
        <v>0</v>
      </c>
      <c r="R1119" s="1575"/>
      <c r="S1119" s="1575"/>
      <c r="T1119" s="1575"/>
      <c r="U1119" s="1575"/>
    </row>
    <row r="1120" spans="1:23" ht="10.9" customHeight="1">
      <c r="A1120" s="1574" t="s">
        <v>1322</v>
      </c>
      <c r="B1120" s="1574"/>
      <c r="C1120" s="1574" t="s">
        <v>7044</v>
      </c>
      <c r="D1120" s="1574"/>
      <c r="E1120" s="1574"/>
      <c r="F1120" s="1574" t="s">
        <v>2319</v>
      </c>
      <c r="G1120" s="1574"/>
      <c r="H1120" s="1574"/>
      <c r="I1120" s="1574"/>
      <c r="J1120" s="1412">
        <v>0</v>
      </c>
      <c r="K1120" s="1412">
        <v>0</v>
      </c>
      <c r="L1120" s="1412">
        <v>1199785.51</v>
      </c>
      <c r="M1120" s="1575">
        <v>0</v>
      </c>
      <c r="N1120" s="1575"/>
      <c r="O1120" s="1575">
        <v>1199785.51</v>
      </c>
      <c r="P1120" s="1575"/>
      <c r="Q1120" s="1575">
        <v>0</v>
      </c>
      <c r="R1120" s="1575"/>
      <c r="S1120" s="1575"/>
      <c r="T1120" s="1575"/>
      <c r="U1120" s="1575"/>
    </row>
    <row r="1121" spans="1:21" ht="10.9" customHeight="1">
      <c r="A1121" s="1574" t="s">
        <v>1322</v>
      </c>
      <c r="B1121" s="1574"/>
      <c r="C1121" s="1574" t="s">
        <v>7045</v>
      </c>
      <c r="D1121" s="1574"/>
      <c r="E1121" s="1574"/>
      <c r="F1121" s="1574" t="s">
        <v>2320</v>
      </c>
      <c r="G1121" s="1574"/>
      <c r="H1121" s="1574"/>
      <c r="I1121" s="1574"/>
      <c r="J1121" s="1412">
        <v>0</v>
      </c>
      <c r="K1121" s="1412">
        <v>0</v>
      </c>
      <c r="L1121" s="1412">
        <v>85827.69</v>
      </c>
      <c r="M1121" s="1575">
        <v>0</v>
      </c>
      <c r="N1121" s="1575"/>
      <c r="O1121" s="1575">
        <v>85827.69</v>
      </c>
      <c r="P1121" s="1575"/>
      <c r="Q1121" s="1575">
        <v>0</v>
      </c>
      <c r="R1121" s="1575"/>
      <c r="S1121" s="1575"/>
      <c r="T1121" s="1575"/>
      <c r="U1121" s="1575"/>
    </row>
    <row r="1122" spans="1:21" ht="10.9" customHeight="1">
      <c r="A1122" s="1574" t="s">
        <v>1322</v>
      </c>
      <c r="B1122" s="1574"/>
      <c r="C1122" s="1574" t="s">
        <v>7046</v>
      </c>
      <c r="D1122" s="1574"/>
      <c r="E1122" s="1574"/>
      <c r="F1122" s="1574" t="s">
        <v>5919</v>
      </c>
      <c r="G1122" s="1574"/>
      <c r="H1122" s="1574"/>
      <c r="I1122" s="1574"/>
      <c r="J1122" s="1412">
        <v>0</v>
      </c>
      <c r="K1122" s="1412">
        <v>0</v>
      </c>
      <c r="L1122" s="1412">
        <v>57826.559999999998</v>
      </c>
      <c r="M1122" s="1575">
        <v>0</v>
      </c>
      <c r="N1122" s="1575"/>
      <c r="O1122" s="1575">
        <v>57826.559999999998</v>
      </c>
      <c r="P1122" s="1575"/>
      <c r="Q1122" s="1575">
        <v>0</v>
      </c>
      <c r="R1122" s="1575"/>
      <c r="S1122" s="1575"/>
      <c r="T1122" s="1575"/>
      <c r="U1122" s="1575"/>
    </row>
    <row r="1123" spans="1:21" ht="10.9" customHeight="1">
      <c r="A1123" s="1574" t="s">
        <v>1322</v>
      </c>
      <c r="B1123" s="1574"/>
      <c r="C1123" s="1574" t="s">
        <v>7047</v>
      </c>
      <c r="D1123" s="1574"/>
      <c r="E1123" s="1574"/>
      <c r="F1123" s="1574" t="s">
        <v>2321</v>
      </c>
      <c r="G1123" s="1574"/>
      <c r="H1123" s="1574"/>
      <c r="I1123" s="1574"/>
      <c r="J1123" s="1412">
        <v>0</v>
      </c>
      <c r="K1123" s="1412">
        <v>0</v>
      </c>
      <c r="L1123" s="1412">
        <v>36209.68</v>
      </c>
      <c r="M1123" s="1575">
        <v>0</v>
      </c>
      <c r="N1123" s="1575"/>
      <c r="O1123" s="1575">
        <v>36209.68</v>
      </c>
      <c r="P1123" s="1575"/>
      <c r="Q1123" s="1575">
        <v>0</v>
      </c>
      <c r="R1123" s="1575"/>
      <c r="S1123" s="1575"/>
      <c r="T1123" s="1575"/>
      <c r="U1123" s="1575"/>
    </row>
    <row r="1124" spans="1:21" ht="10.9" customHeight="1">
      <c r="A1124" s="1574" t="s">
        <v>1322</v>
      </c>
      <c r="B1124" s="1574"/>
      <c r="C1124" s="1574" t="s">
        <v>7048</v>
      </c>
      <c r="D1124" s="1574"/>
      <c r="E1124" s="1574"/>
      <c r="F1124" s="1574" t="s">
        <v>6197</v>
      </c>
      <c r="G1124" s="1574"/>
      <c r="H1124" s="1574"/>
      <c r="I1124" s="1574"/>
      <c r="J1124" s="1412">
        <v>0</v>
      </c>
      <c r="K1124" s="1412">
        <v>0</v>
      </c>
      <c r="L1124" s="1412">
        <v>537.72</v>
      </c>
      <c r="M1124" s="1575">
        <v>0</v>
      </c>
      <c r="N1124" s="1575"/>
      <c r="O1124" s="1575">
        <v>537.72</v>
      </c>
      <c r="P1124" s="1575"/>
      <c r="Q1124" s="1575">
        <v>0</v>
      </c>
      <c r="R1124" s="1575"/>
      <c r="S1124" s="1575"/>
      <c r="T1124" s="1575"/>
      <c r="U1124" s="1575"/>
    </row>
    <row r="1125" spans="1:21" ht="10.9" customHeight="1">
      <c r="A1125" s="1574" t="s">
        <v>1322</v>
      </c>
      <c r="B1125" s="1574"/>
      <c r="C1125" s="1574" t="s">
        <v>7049</v>
      </c>
      <c r="D1125" s="1574"/>
      <c r="E1125" s="1574"/>
      <c r="F1125" s="1574" t="s">
        <v>6551</v>
      </c>
      <c r="G1125" s="1574"/>
      <c r="H1125" s="1574"/>
      <c r="I1125" s="1574"/>
      <c r="J1125" s="1412">
        <v>0</v>
      </c>
      <c r="K1125" s="1412">
        <v>0</v>
      </c>
      <c r="L1125" s="1412">
        <v>25352.19</v>
      </c>
      <c r="M1125" s="1575">
        <v>0</v>
      </c>
      <c r="N1125" s="1575"/>
      <c r="O1125" s="1575">
        <v>25352.19</v>
      </c>
      <c r="P1125" s="1575"/>
      <c r="Q1125" s="1575">
        <v>0</v>
      </c>
      <c r="R1125" s="1575"/>
      <c r="S1125" s="1575"/>
      <c r="T1125" s="1575"/>
      <c r="U1125" s="1575"/>
    </row>
    <row r="1126" spans="1:21" ht="19.149999999999999" customHeight="1">
      <c r="A1126" s="1574" t="s">
        <v>1322</v>
      </c>
      <c r="B1126" s="1574"/>
      <c r="C1126" s="1574" t="s">
        <v>7050</v>
      </c>
      <c r="D1126" s="1574"/>
      <c r="E1126" s="1574"/>
      <c r="F1126" s="1574" t="s">
        <v>3002</v>
      </c>
      <c r="G1126" s="1574"/>
      <c r="H1126" s="1574"/>
      <c r="I1126" s="1574"/>
      <c r="J1126" s="1412">
        <v>0</v>
      </c>
      <c r="K1126" s="1412">
        <v>0</v>
      </c>
      <c r="L1126" s="1412">
        <v>364159</v>
      </c>
      <c r="M1126" s="1575">
        <v>0</v>
      </c>
      <c r="N1126" s="1575"/>
      <c r="O1126" s="1575">
        <v>364159</v>
      </c>
      <c r="P1126" s="1575"/>
      <c r="Q1126" s="1575">
        <v>0</v>
      </c>
      <c r="R1126" s="1575"/>
      <c r="S1126" s="1575"/>
      <c r="T1126" s="1575"/>
      <c r="U1126" s="1575"/>
    </row>
    <row r="1127" spans="1:21" ht="10.9" customHeight="1">
      <c r="A1127" s="1574" t="s">
        <v>1322</v>
      </c>
      <c r="B1127" s="1574"/>
      <c r="C1127" s="1574" t="s">
        <v>7051</v>
      </c>
      <c r="D1127" s="1574"/>
      <c r="E1127" s="1574"/>
      <c r="F1127" s="1574" t="s">
        <v>0</v>
      </c>
      <c r="G1127" s="1574"/>
      <c r="H1127" s="1574"/>
      <c r="I1127" s="1574"/>
      <c r="J1127" s="1412">
        <v>0</v>
      </c>
      <c r="K1127" s="1412">
        <v>0</v>
      </c>
      <c r="L1127" s="1412">
        <v>364159</v>
      </c>
      <c r="M1127" s="1575">
        <v>0</v>
      </c>
      <c r="N1127" s="1575"/>
      <c r="O1127" s="1575">
        <v>364159</v>
      </c>
      <c r="P1127" s="1575"/>
      <c r="Q1127" s="1575">
        <v>0</v>
      </c>
      <c r="R1127" s="1575"/>
      <c r="S1127" s="1575"/>
      <c r="T1127" s="1575"/>
      <c r="U1127" s="1575"/>
    </row>
    <row r="1128" spans="1:21" ht="19.149999999999999" customHeight="1">
      <c r="A1128" s="1574" t="s">
        <v>1322</v>
      </c>
      <c r="B1128" s="1574"/>
      <c r="C1128" s="1574" t="s">
        <v>7052</v>
      </c>
      <c r="D1128" s="1574"/>
      <c r="E1128" s="1574"/>
      <c r="F1128" s="1574" t="s">
        <v>2993</v>
      </c>
      <c r="G1128" s="1574"/>
      <c r="H1128" s="1574"/>
      <c r="I1128" s="1574"/>
      <c r="J1128" s="1412">
        <v>0</v>
      </c>
      <c r="K1128" s="1412">
        <v>0</v>
      </c>
      <c r="L1128" s="1412">
        <v>4594810.3899999997</v>
      </c>
      <c r="M1128" s="1575">
        <v>0</v>
      </c>
      <c r="N1128" s="1575"/>
      <c r="O1128" s="1575">
        <v>4594810.3899999997</v>
      </c>
      <c r="P1128" s="1575"/>
      <c r="Q1128" s="1575">
        <v>0</v>
      </c>
      <c r="R1128" s="1575"/>
      <c r="S1128" s="1575"/>
      <c r="T1128" s="1575"/>
      <c r="U1128" s="1575"/>
    </row>
    <row r="1129" spans="1:21" ht="10.9" customHeight="1">
      <c r="A1129" s="1574" t="s">
        <v>1322</v>
      </c>
      <c r="B1129" s="1574"/>
      <c r="C1129" s="1574" t="s">
        <v>7053</v>
      </c>
      <c r="D1129" s="1574"/>
      <c r="E1129" s="1574"/>
      <c r="F1129" s="1574" t="s">
        <v>2328</v>
      </c>
      <c r="G1129" s="1574"/>
      <c r="H1129" s="1574"/>
      <c r="I1129" s="1574"/>
      <c r="J1129" s="1412">
        <v>0</v>
      </c>
      <c r="K1129" s="1412">
        <v>0</v>
      </c>
      <c r="L1129" s="1412">
        <v>4092234.38</v>
      </c>
      <c r="M1129" s="1575">
        <v>0</v>
      </c>
      <c r="N1129" s="1575"/>
      <c r="O1129" s="1575">
        <v>4092234.38</v>
      </c>
      <c r="P1129" s="1575"/>
      <c r="Q1129" s="1575">
        <v>0</v>
      </c>
      <c r="R1129" s="1575"/>
      <c r="S1129" s="1575"/>
      <c r="T1129" s="1575"/>
      <c r="U1129" s="1575"/>
    </row>
    <row r="1130" spans="1:21" ht="10.9" customHeight="1">
      <c r="A1130" s="1574" t="s">
        <v>1322</v>
      </c>
      <c r="B1130" s="1574"/>
      <c r="C1130" s="1574" t="s">
        <v>7054</v>
      </c>
      <c r="D1130" s="1574"/>
      <c r="E1130" s="1574"/>
      <c r="F1130" s="1574" t="s">
        <v>2329</v>
      </c>
      <c r="G1130" s="1574"/>
      <c r="H1130" s="1574"/>
      <c r="I1130" s="1574"/>
      <c r="J1130" s="1412">
        <v>0</v>
      </c>
      <c r="K1130" s="1412">
        <v>0</v>
      </c>
      <c r="L1130" s="1412">
        <v>329580.78000000003</v>
      </c>
      <c r="M1130" s="1575">
        <v>0</v>
      </c>
      <c r="N1130" s="1575"/>
      <c r="O1130" s="1575">
        <v>329580.78000000003</v>
      </c>
      <c r="P1130" s="1575"/>
      <c r="Q1130" s="1575">
        <v>0</v>
      </c>
      <c r="R1130" s="1575"/>
      <c r="S1130" s="1575"/>
      <c r="T1130" s="1575"/>
      <c r="U1130" s="1575"/>
    </row>
    <row r="1131" spans="1:21" ht="10.9" customHeight="1">
      <c r="A1131" s="1574" t="s">
        <v>1322</v>
      </c>
      <c r="B1131" s="1574"/>
      <c r="C1131" s="1574" t="s">
        <v>7055</v>
      </c>
      <c r="D1131" s="1574"/>
      <c r="E1131" s="1574"/>
      <c r="F1131" s="1574" t="s">
        <v>3311</v>
      </c>
      <c r="G1131" s="1574"/>
      <c r="H1131" s="1574"/>
      <c r="I1131" s="1574"/>
      <c r="J1131" s="1412">
        <v>0</v>
      </c>
      <c r="K1131" s="1412">
        <v>0</v>
      </c>
      <c r="L1131" s="1412">
        <v>172995.23</v>
      </c>
      <c r="M1131" s="1575">
        <v>0</v>
      </c>
      <c r="N1131" s="1575"/>
      <c r="O1131" s="1575">
        <v>172995.23</v>
      </c>
      <c r="P1131" s="1575"/>
      <c r="Q1131" s="1575">
        <v>0</v>
      </c>
      <c r="R1131" s="1575"/>
      <c r="S1131" s="1575"/>
      <c r="T1131" s="1575"/>
      <c r="U1131" s="1575"/>
    </row>
    <row r="1132" spans="1:21" ht="10.9" customHeight="1">
      <c r="A1132" s="1574" t="s">
        <v>345</v>
      </c>
      <c r="B1132" s="1574"/>
      <c r="C1132" s="1574" t="s">
        <v>1682</v>
      </c>
      <c r="D1132" s="1574"/>
      <c r="E1132" s="1574"/>
      <c r="F1132" s="1574" t="s">
        <v>1683</v>
      </c>
      <c r="G1132" s="1574"/>
      <c r="H1132" s="1574"/>
      <c r="I1132" s="1574"/>
      <c r="J1132" s="1412">
        <v>0</v>
      </c>
      <c r="K1132" s="1412">
        <v>0</v>
      </c>
      <c r="L1132" s="1412">
        <v>7752578.0800000001</v>
      </c>
      <c r="M1132" s="1575">
        <v>7752578.0800000001</v>
      </c>
      <c r="N1132" s="1575"/>
      <c r="O1132" s="1575">
        <v>0</v>
      </c>
      <c r="P1132" s="1575"/>
      <c r="Q1132" s="1575">
        <v>0</v>
      </c>
      <c r="R1132" s="1575"/>
      <c r="S1132" s="1575"/>
      <c r="T1132" s="1575"/>
      <c r="U1132" s="1575"/>
    </row>
    <row r="1133" spans="1:21" ht="27.2" customHeight="1">
      <c r="A1133" s="1574" t="s">
        <v>345</v>
      </c>
      <c r="B1133" s="1574"/>
      <c r="C1133" s="1574" t="s">
        <v>3054</v>
      </c>
      <c r="D1133" s="1574"/>
      <c r="E1133" s="1574"/>
      <c r="F1133" s="1574" t="s">
        <v>2991</v>
      </c>
      <c r="G1133" s="1574"/>
      <c r="H1133" s="1574"/>
      <c r="I1133" s="1574"/>
      <c r="J1133" s="1412">
        <v>0</v>
      </c>
      <c r="K1133" s="1412">
        <v>0</v>
      </c>
      <c r="L1133" s="1412">
        <v>6935386.7800000003</v>
      </c>
      <c r="M1133" s="1575">
        <v>6935386.7800000003</v>
      </c>
      <c r="N1133" s="1575"/>
      <c r="O1133" s="1575">
        <v>0</v>
      </c>
      <c r="P1133" s="1575"/>
      <c r="Q1133" s="1575">
        <v>0</v>
      </c>
      <c r="R1133" s="1575"/>
      <c r="S1133" s="1575"/>
      <c r="T1133" s="1575"/>
      <c r="U1133" s="1575"/>
    </row>
    <row r="1134" spans="1:21" ht="19.149999999999999" customHeight="1">
      <c r="A1134" s="1574" t="s">
        <v>345</v>
      </c>
      <c r="B1134" s="1574"/>
      <c r="C1134" s="1574" t="s">
        <v>3055</v>
      </c>
      <c r="D1134" s="1574"/>
      <c r="E1134" s="1574"/>
      <c r="F1134" s="1574" t="s">
        <v>3002</v>
      </c>
      <c r="G1134" s="1574"/>
      <c r="H1134" s="1574"/>
      <c r="I1134" s="1574"/>
      <c r="J1134" s="1412">
        <v>0</v>
      </c>
      <c r="K1134" s="1412">
        <v>0</v>
      </c>
      <c r="L1134" s="1412">
        <v>6810205.3399999999</v>
      </c>
      <c r="M1134" s="1575">
        <v>6810205.3399999999</v>
      </c>
      <c r="N1134" s="1575"/>
      <c r="O1134" s="1575">
        <v>0</v>
      </c>
      <c r="P1134" s="1575"/>
      <c r="Q1134" s="1575">
        <v>0</v>
      </c>
      <c r="R1134" s="1575"/>
      <c r="S1134" s="1575"/>
      <c r="T1134" s="1575"/>
      <c r="U1134" s="1575"/>
    </row>
    <row r="1135" spans="1:21" ht="10.9" customHeight="1">
      <c r="A1135" s="1574" t="s">
        <v>345</v>
      </c>
      <c r="B1135" s="1574"/>
      <c r="C1135" s="1574" t="s">
        <v>3056</v>
      </c>
      <c r="D1135" s="1574"/>
      <c r="E1135" s="1574"/>
      <c r="F1135" s="1574" t="s">
        <v>2311</v>
      </c>
      <c r="G1135" s="1574"/>
      <c r="H1135" s="1574"/>
      <c r="I1135" s="1574"/>
      <c r="J1135" s="1412">
        <v>0</v>
      </c>
      <c r="K1135" s="1412">
        <v>0</v>
      </c>
      <c r="L1135" s="1412">
        <v>270844.79999999999</v>
      </c>
      <c r="M1135" s="1575">
        <v>270844.79999999999</v>
      </c>
      <c r="N1135" s="1575"/>
      <c r="O1135" s="1575">
        <v>0</v>
      </c>
      <c r="P1135" s="1575"/>
      <c r="Q1135" s="1575">
        <v>0</v>
      </c>
      <c r="R1135" s="1575"/>
      <c r="S1135" s="1575"/>
      <c r="T1135" s="1575"/>
      <c r="U1135" s="1575"/>
    </row>
    <row r="1136" spans="1:21" ht="10.9" customHeight="1">
      <c r="A1136" s="1574" t="s">
        <v>345</v>
      </c>
      <c r="B1136" s="1574"/>
      <c r="C1136" s="1574" t="s">
        <v>3057</v>
      </c>
      <c r="D1136" s="1574"/>
      <c r="E1136" s="1574"/>
      <c r="F1136" s="1574" t="s">
        <v>2313</v>
      </c>
      <c r="G1136" s="1574"/>
      <c r="H1136" s="1574"/>
      <c r="I1136" s="1574"/>
      <c r="J1136" s="1412">
        <v>0</v>
      </c>
      <c r="K1136" s="1412">
        <v>0</v>
      </c>
      <c r="L1136" s="1412">
        <v>4914720.3099999996</v>
      </c>
      <c r="M1136" s="1575">
        <v>4914720.3099999996</v>
      </c>
      <c r="N1136" s="1575"/>
      <c r="O1136" s="1575">
        <v>0</v>
      </c>
      <c r="P1136" s="1575"/>
      <c r="Q1136" s="1575">
        <v>0</v>
      </c>
      <c r="R1136" s="1575"/>
      <c r="S1136" s="1575"/>
      <c r="T1136" s="1575"/>
      <c r="U1136" s="1575"/>
    </row>
    <row r="1137" spans="1:23" ht="10.9" customHeight="1">
      <c r="A1137" s="1574" t="s">
        <v>345</v>
      </c>
      <c r="B1137" s="1574"/>
      <c r="C1137" s="1574" t="s">
        <v>3058</v>
      </c>
      <c r="D1137" s="1574"/>
      <c r="E1137" s="1574"/>
      <c r="F1137" s="1574" t="s">
        <v>2314</v>
      </c>
      <c r="G1137" s="1574"/>
      <c r="H1137" s="1574"/>
      <c r="I1137" s="1574"/>
      <c r="J1137" s="1412">
        <v>0</v>
      </c>
      <c r="K1137" s="1412">
        <v>0</v>
      </c>
      <c r="L1137" s="1412">
        <v>505804.04</v>
      </c>
      <c r="M1137" s="1575">
        <v>505804.04</v>
      </c>
      <c r="N1137" s="1575"/>
      <c r="O1137" s="1575">
        <v>0</v>
      </c>
      <c r="P1137" s="1575"/>
      <c r="Q1137" s="1575">
        <v>0</v>
      </c>
      <c r="R1137" s="1575"/>
      <c r="S1137" s="1575"/>
      <c r="T1137" s="1575"/>
      <c r="U1137" s="1575"/>
    </row>
    <row r="1138" spans="1:23" ht="10.9" customHeight="1">
      <c r="A1138" s="1574" t="s">
        <v>345</v>
      </c>
      <c r="B1138" s="1574"/>
      <c r="C1138" s="1574" t="s">
        <v>3059</v>
      </c>
      <c r="D1138" s="1574"/>
      <c r="E1138" s="1574"/>
      <c r="F1138" s="1574" t="s">
        <v>2315</v>
      </c>
      <c r="G1138" s="1574"/>
      <c r="H1138" s="1574"/>
      <c r="I1138" s="1574"/>
      <c r="J1138" s="1412">
        <v>0</v>
      </c>
      <c r="K1138" s="1412">
        <v>0</v>
      </c>
      <c r="L1138" s="1412">
        <v>134.43</v>
      </c>
      <c r="M1138" s="1575">
        <v>134.43</v>
      </c>
      <c r="N1138" s="1575"/>
      <c r="O1138" s="1575">
        <v>0</v>
      </c>
      <c r="P1138" s="1575"/>
      <c r="Q1138" s="1575">
        <v>0</v>
      </c>
      <c r="R1138" s="1575"/>
      <c r="S1138" s="1575"/>
      <c r="T1138" s="1575"/>
      <c r="U1138" s="1575"/>
    </row>
    <row r="1139" spans="1:23" ht="10.9" customHeight="1">
      <c r="A1139" s="1574" t="s">
        <v>345</v>
      </c>
      <c r="B1139" s="1574"/>
      <c r="C1139" s="1574" t="s">
        <v>3060</v>
      </c>
      <c r="D1139" s="1574"/>
      <c r="E1139" s="1574"/>
      <c r="F1139" s="1574" t="s">
        <v>2316</v>
      </c>
      <c r="G1139" s="1574"/>
      <c r="H1139" s="1574"/>
      <c r="I1139" s="1574"/>
      <c r="J1139" s="1412">
        <v>0</v>
      </c>
      <c r="K1139" s="1412">
        <v>0</v>
      </c>
      <c r="L1139" s="1412">
        <v>246618.91</v>
      </c>
      <c r="M1139" s="1575">
        <v>246618.91</v>
      </c>
      <c r="N1139" s="1575"/>
      <c r="O1139" s="1575">
        <v>0</v>
      </c>
      <c r="P1139" s="1575"/>
      <c r="Q1139" s="1575">
        <v>0</v>
      </c>
      <c r="R1139" s="1575"/>
      <c r="S1139" s="1575"/>
      <c r="T1139" s="1575"/>
      <c r="U1139" s="1575"/>
    </row>
    <row r="1140" spans="1:23" ht="10.9" customHeight="1">
      <c r="A1140" s="1574" t="s">
        <v>345</v>
      </c>
      <c r="B1140" s="1574"/>
      <c r="C1140" s="1574" t="s">
        <v>3061</v>
      </c>
      <c r="D1140" s="1574"/>
      <c r="E1140" s="1574"/>
      <c r="F1140" s="1574" t="s">
        <v>2317</v>
      </c>
      <c r="G1140" s="1574"/>
      <c r="H1140" s="1574"/>
      <c r="I1140" s="1574"/>
      <c r="J1140" s="1412">
        <v>0</v>
      </c>
      <c r="K1140" s="1412">
        <v>0</v>
      </c>
      <c r="L1140" s="1412">
        <v>129134.92</v>
      </c>
      <c r="M1140" s="1575">
        <v>129134.92</v>
      </c>
      <c r="N1140" s="1575"/>
      <c r="O1140" s="1575">
        <v>0</v>
      </c>
      <c r="P1140" s="1575"/>
      <c r="Q1140" s="1575">
        <v>0</v>
      </c>
      <c r="R1140" s="1575"/>
      <c r="S1140" s="1575"/>
      <c r="T1140" s="1575"/>
      <c r="U1140" s="1575"/>
    </row>
    <row r="1141" spans="1:23" ht="10.9" customHeight="1">
      <c r="A1141" s="1574" t="s">
        <v>345</v>
      </c>
      <c r="B1141" s="1574"/>
      <c r="C1141" s="1574" t="s">
        <v>5690</v>
      </c>
      <c r="D1141" s="1574"/>
      <c r="E1141" s="1574"/>
      <c r="F1141" s="1574" t="s">
        <v>5688</v>
      </c>
      <c r="G1141" s="1574"/>
      <c r="H1141" s="1574"/>
      <c r="I1141" s="1574"/>
      <c r="J1141" s="1412">
        <v>0</v>
      </c>
      <c r="K1141" s="1412">
        <v>0</v>
      </c>
      <c r="L1141" s="1412">
        <v>0</v>
      </c>
      <c r="M1141" s="1575">
        <v>0</v>
      </c>
      <c r="N1141" s="1575"/>
      <c r="O1141" s="1575">
        <v>0</v>
      </c>
      <c r="P1141" s="1575"/>
      <c r="Q1141" s="1575">
        <v>0</v>
      </c>
      <c r="R1141" s="1575"/>
      <c r="S1141" s="1575"/>
      <c r="T1141" s="1575"/>
      <c r="U1141" s="1575"/>
    </row>
    <row r="1142" spans="1:23" ht="10.9" customHeight="1">
      <c r="A1142" s="1574" t="s">
        <v>345</v>
      </c>
      <c r="B1142" s="1574"/>
      <c r="C1142" s="1574" t="s">
        <v>3062</v>
      </c>
      <c r="D1142" s="1574"/>
      <c r="E1142" s="1574"/>
      <c r="F1142" s="1574" t="s">
        <v>2318</v>
      </c>
      <c r="G1142" s="1574"/>
      <c r="H1142" s="1574"/>
      <c r="I1142" s="1574"/>
      <c r="J1142" s="1412">
        <v>0</v>
      </c>
      <c r="K1142" s="1412">
        <v>0</v>
      </c>
      <c r="L1142" s="1412">
        <v>25865.95</v>
      </c>
      <c r="M1142" s="1575">
        <v>25865.95</v>
      </c>
      <c r="N1142" s="1575"/>
      <c r="O1142" s="1575">
        <v>0</v>
      </c>
      <c r="P1142" s="1575"/>
      <c r="Q1142" s="1575">
        <v>0</v>
      </c>
      <c r="R1142" s="1575"/>
      <c r="S1142" s="1575"/>
      <c r="T1142" s="1575"/>
      <c r="U1142" s="1575"/>
    </row>
    <row r="1143" spans="1:23" ht="10.9" customHeight="1">
      <c r="A1143" s="1574" t="s">
        <v>345</v>
      </c>
      <c r="B1143" s="1574"/>
      <c r="C1143" s="1574" t="s">
        <v>3063</v>
      </c>
      <c r="D1143" s="1574"/>
      <c r="E1143" s="1574"/>
      <c r="F1143" s="1574" t="s">
        <v>2319</v>
      </c>
      <c r="G1143" s="1574"/>
      <c r="H1143" s="1574"/>
      <c r="I1143" s="1574"/>
      <c r="J1143" s="1412">
        <v>0</v>
      </c>
      <c r="K1143" s="1412">
        <v>0</v>
      </c>
      <c r="L1143" s="1412">
        <v>396070.29</v>
      </c>
      <c r="M1143" s="1575">
        <v>396070.29</v>
      </c>
      <c r="N1143" s="1575"/>
      <c r="O1143" s="1575">
        <v>0</v>
      </c>
      <c r="P1143" s="1575"/>
      <c r="Q1143" s="1575">
        <v>0</v>
      </c>
      <c r="R1143" s="1575"/>
      <c r="S1143" s="1575"/>
      <c r="T1143" s="1575"/>
      <c r="U1143" s="1575"/>
    </row>
    <row r="1144" spans="1:23" ht="10.9" customHeight="1">
      <c r="A1144" s="1574" t="s">
        <v>345</v>
      </c>
      <c r="B1144" s="1574"/>
      <c r="C1144" s="1574" t="s">
        <v>3064</v>
      </c>
      <c r="D1144" s="1574"/>
      <c r="E1144" s="1574"/>
      <c r="F1144" s="1574" t="s">
        <v>2320</v>
      </c>
      <c r="G1144" s="1574"/>
      <c r="H1144" s="1574"/>
      <c r="I1144" s="1574"/>
      <c r="J1144" s="1412">
        <v>0</v>
      </c>
      <c r="K1144" s="1412">
        <v>0</v>
      </c>
      <c r="L1144" s="1412">
        <v>48721.22</v>
      </c>
      <c r="M1144" s="1575">
        <v>48721.22</v>
      </c>
      <c r="N1144" s="1575"/>
      <c r="O1144" s="1575">
        <v>0</v>
      </c>
      <c r="P1144" s="1575"/>
      <c r="Q1144" s="1575">
        <v>0</v>
      </c>
      <c r="R1144" s="1575"/>
      <c r="S1144" s="1575"/>
      <c r="T1144" s="1575"/>
      <c r="U1144" s="1575"/>
    </row>
    <row r="1145" spans="1:23" ht="10.9" customHeight="1">
      <c r="A1145" s="1574" t="s">
        <v>345</v>
      </c>
      <c r="B1145" s="1574"/>
      <c r="C1145" s="1574" t="s">
        <v>5925</v>
      </c>
      <c r="D1145" s="1574"/>
      <c r="E1145" s="1574"/>
      <c r="F1145" s="1574" t="s">
        <v>5919</v>
      </c>
      <c r="G1145" s="1574"/>
      <c r="H1145" s="1574"/>
      <c r="I1145" s="1574"/>
      <c r="J1145" s="1412">
        <v>0</v>
      </c>
      <c r="K1145" s="1412">
        <v>0</v>
      </c>
      <c r="L1145" s="1412">
        <v>0</v>
      </c>
      <c r="M1145" s="1575">
        <v>0</v>
      </c>
      <c r="N1145" s="1575"/>
      <c r="O1145" s="1575">
        <v>0</v>
      </c>
      <c r="P1145" s="1575"/>
      <c r="Q1145" s="1575">
        <v>0</v>
      </c>
      <c r="R1145" s="1575"/>
      <c r="S1145" s="1575"/>
      <c r="T1145" s="1575"/>
      <c r="U1145" s="1575"/>
    </row>
    <row r="1146" spans="1:23" ht="10.9" customHeight="1">
      <c r="A1146" s="1574" t="s">
        <v>345</v>
      </c>
      <c r="B1146" s="1574"/>
      <c r="C1146" s="1574" t="s">
        <v>3065</v>
      </c>
      <c r="D1146" s="1574"/>
      <c r="E1146" s="1574"/>
      <c r="F1146" s="1574" t="s">
        <v>2321</v>
      </c>
      <c r="G1146" s="1574"/>
      <c r="H1146" s="1574"/>
      <c r="I1146" s="1574"/>
      <c r="J1146" s="1412">
        <v>0</v>
      </c>
      <c r="K1146" s="1412">
        <v>0</v>
      </c>
      <c r="L1146" s="1412">
        <v>28279.56</v>
      </c>
      <c r="M1146" s="1575">
        <v>28279.56</v>
      </c>
      <c r="N1146" s="1575"/>
      <c r="O1146" s="1575">
        <v>0</v>
      </c>
      <c r="P1146" s="1575"/>
      <c r="Q1146" s="1575">
        <v>0</v>
      </c>
      <c r="R1146" s="1575"/>
      <c r="S1146" s="1575"/>
      <c r="T1146" s="1575"/>
      <c r="U1146" s="1575"/>
    </row>
    <row r="1147" spans="1:23" ht="10.9" customHeight="1">
      <c r="A1147" s="1574" t="s">
        <v>345</v>
      </c>
      <c r="B1147" s="1574"/>
      <c r="C1147" s="1574" t="s">
        <v>3066</v>
      </c>
      <c r="D1147" s="1574"/>
      <c r="E1147" s="1574"/>
      <c r="F1147" s="1574" t="s">
        <v>2322</v>
      </c>
      <c r="G1147" s="1574"/>
      <c r="H1147" s="1574"/>
      <c r="I1147" s="1574"/>
      <c r="J1147" s="1412">
        <v>0</v>
      </c>
      <c r="K1147" s="1412">
        <v>0</v>
      </c>
      <c r="L1147" s="1412">
        <v>22129.66</v>
      </c>
      <c r="M1147" s="1575">
        <v>22129.66</v>
      </c>
      <c r="N1147" s="1575"/>
      <c r="O1147" s="1575">
        <v>0</v>
      </c>
      <c r="P1147" s="1575"/>
      <c r="Q1147" s="1575">
        <v>0</v>
      </c>
      <c r="R1147" s="1575"/>
      <c r="S1147" s="1575"/>
      <c r="T1147" s="1575"/>
      <c r="U1147" s="1575"/>
    </row>
    <row r="1148" spans="1:23" ht="10.9" customHeight="1">
      <c r="A1148" s="1574" t="s">
        <v>345</v>
      </c>
      <c r="B1148" s="1574"/>
      <c r="C1148" s="1574" t="s">
        <v>6200</v>
      </c>
      <c r="D1148" s="1574"/>
      <c r="E1148" s="1574"/>
      <c r="F1148" s="1574" t="s">
        <v>6197</v>
      </c>
      <c r="G1148" s="1574"/>
      <c r="H1148" s="1574"/>
      <c r="I1148" s="1574"/>
      <c r="J1148" s="1412">
        <v>0</v>
      </c>
      <c r="K1148" s="1412">
        <v>0</v>
      </c>
      <c r="L1148" s="1412">
        <v>0</v>
      </c>
      <c r="M1148" s="1575">
        <v>0</v>
      </c>
      <c r="N1148" s="1575"/>
      <c r="O1148" s="1575">
        <v>0</v>
      </c>
      <c r="P1148" s="1575"/>
      <c r="Q1148" s="1575">
        <v>0</v>
      </c>
      <c r="R1148" s="1575"/>
      <c r="S1148" s="1575"/>
      <c r="T1148" s="1575"/>
      <c r="U1148" s="1575"/>
    </row>
    <row r="1149" spans="1:23" ht="10.9" customHeight="1">
      <c r="A1149" s="1574" t="s">
        <v>345</v>
      </c>
      <c r="B1149" s="1574"/>
      <c r="C1149" s="1574" t="s">
        <v>3368</v>
      </c>
      <c r="D1149" s="1574"/>
      <c r="E1149" s="1574"/>
      <c r="F1149" s="1574" t="s">
        <v>2383</v>
      </c>
      <c r="G1149" s="1574"/>
      <c r="H1149" s="1574"/>
      <c r="I1149" s="1574"/>
      <c r="J1149" s="1412">
        <v>0</v>
      </c>
      <c r="K1149" s="1412">
        <v>0</v>
      </c>
      <c r="L1149" s="1412">
        <v>78157.399999999994</v>
      </c>
      <c r="M1149" s="1575">
        <v>78157.399999999994</v>
      </c>
      <c r="N1149" s="1575"/>
      <c r="O1149" s="1575">
        <v>0</v>
      </c>
      <c r="P1149" s="1575"/>
      <c r="Q1149" s="1575">
        <v>0</v>
      </c>
      <c r="R1149" s="1575"/>
      <c r="S1149" s="1575"/>
      <c r="T1149" s="1575"/>
      <c r="U1149" s="1575"/>
    </row>
    <row r="1150" spans="1:23" ht="14.45" customHeight="1">
      <c r="S1150" s="1573" t="s">
        <v>2705</v>
      </c>
      <c r="T1150" s="1573"/>
      <c r="U1150" s="1573"/>
      <c r="V1150" s="1573"/>
      <c r="W1150" s="1573"/>
    </row>
    <row r="1151" spans="1:23" ht="7.15" customHeight="1">
      <c r="C1151" s="1586" t="s">
        <v>2987</v>
      </c>
      <c r="D1151" s="1586"/>
      <c r="E1151" s="1586"/>
      <c r="F1151" s="1586"/>
      <c r="G1151" s="1586"/>
      <c r="H1151" s="1586"/>
      <c r="I1151" s="1586"/>
      <c r="J1151" s="1586"/>
      <c r="K1151" s="1586"/>
      <c r="L1151" s="1586"/>
      <c r="M1151" s="1586"/>
      <c r="N1151" s="1586"/>
      <c r="O1151" s="1586"/>
      <c r="P1151" s="1586"/>
      <c r="Q1151" s="1586"/>
      <c r="R1151" s="1586"/>
      <c r="S1151" s="1586"/>
      <c r="T1151" s="1586"/>
    </row>
    <row r="1152" spans="1:23" ht="9.6" customHeight="1">
      <c r="A1152" s="1587"/>
      <c r="B1152" s="1587"/>
      <c r="C1152" s="1587"/>
      <c r="D1152" s="1587"/>
      <c r="E1152" s="1587"/>
      <c r="F1152" s="1587"/>
      <c r="G1152" s="1586"/>
      <c r="H1152" s="1586"/>
      <c r="I1152" s="1586"/>
      <c r="J1152" s="1586"/>
      <c r="K1152" s="1586"/>
      <c r="L1152" s="1586"/>
      <c r="M1152" s="1586"/>
      <c r="N1152" s="1586"/>
      <c r="O1152" s="1586"/>
      <c r="P1152" s="1586"/>
      <c r="Q1152" s="1586"/>
      <c r="R1152" s="1586"/>
      <c r="S1152" s="1586"/>
      <c r="T1152" s="1586"/>
    </row>
    <row r="1153" spans="1:23" ht="13.35" customHeight="1">
      <c r="A1153" s="1587"/>
      <c r="B1153" s="1587"/>
      <c r="C1153" s="1587"/>
      <c r="D1153" s="1587"/>
      <c r="E1153" s="1587"/>
      <c r="F1153" s="1587"/>
      <c r="G1153" s="1588" t="s">
        <v>79</v>
      </c>
      <c r="H1153" s="1588"/>
      <c r="I1153" s="1588"/>
      <c r="J1153" s="1588"/>
      <c r="K1153" s="1588"/>
      <c r="L1153" s="1588"/>
      <c r="M1153" s="1588"/>
      <c r="N1153" s="1588"/>
      <c r="O1153" s="1588"/>
      <c r="P1153" s="1588"/>
      <c r="Q1153" s="1588"/>
      <c r="R1153" s="1588"/>
    </row>
    <row r="1154" spans="1:23" ht="5.25" customHeight="1">
      <c r="A1154" s="1587"/>
      <c r="B1154" s="1587"/>
      <c r="C1154" s="1587"/>
      <c r="D1154" s="1587"/>
      <c r="E1154" s="1587"/>
      <c r="F1154" s="1587"/>
      <c r="G1154" s="1581" t="s">
        <v>7015</v>
      </c>
      <c r="H1154" s="1581"/>
      <c r="I1154" s="1581"/>
      <c r="J1154" s="1581"/>
      <c r="K1154" s="1581"/>
      <c r="L1154" s="1581"/>
      <c r="M1154" s="1581"/>
      <c r="N1154" s="1581"/>
      <c r="O1154" s="1581"/>
      <c r="P1154" s="1581"/>
      <c r="Q1154" s="1581"/>
    </row>
    <row r="1155" spans="1:23" ht="8.1" customHeight="1">
      <c r="B1155" s="1580" t="s">
        <v>1916</v>
      </c>
      <c r="C1155" s="1580"/>
      <c r="D1155" s="1580"/>
      <c r="E1155" s="1580"/>
      <c r="F1155" s="1580"/>
      <c r="G1155" s="1580"/>
      <c r="H1155" s="1581"/>
      <c r="I1155" s="1581"/>
      <c r="J1155" s="1581"/>
      <c r="K1155" s="1581"/>
      <c r="L1155" s="1581"/>
      <c r="M1155" s="1581"/>
      <c r="N1155" s="1582" t="s">
        <v>5619</v>
      </c>
      <c r="O1155" s="1582"/>
      <c r="P1155" s="1582"/>
      <c r="Q1155" s="1582"/>
      <c r="R1155" s="1582"/>
      <c r="S1155" s="1582"/>
      <c r="T1155" s="1583" t="s">
        <v>7016</v>
      </c>
      <c r="U1155" s="1583"/>
      <c r="V1155" s="1583"/>
      <c r="W1155" s="1583"/>
    </row>
    <row r="1156" spans="1:23" ht="6" customHeight="1">
      <c r="B1156" s="1580"/>
      <c r="C1156" s="1580"/>
      <c r="D1156" s="1580"/>
      <c r="E1156" s="1580"/>
      <c r="F1156" s="1580"/>
      <c r="G1156" s="1580"/>
      <c r="H1156" s="1584" t="s">
        <v>7017</v>
      </c>
      <c r="I1156" s="1584"/>
      <c r="J1156" s="1584"/>
      <c r="K1156" s="1584"/>
      <c r="L1156" s="1584"/>
      <c r="M1156" s="1584"/>
      <c r="N1156" s="1582"/>
      <c r="O1156" s="1582"/>
      <c r="P1156" s="1582"/>
      <c r="Q1156" s="1582"/>
      <c r="R1156" s="1582"/>
      <c r="S1156" s="1582"/>
      <c r="T1156" s="1583"/>
      <c r="U1156" s="1583"/>
      <c r="V1156" s="1583"/>
      <c r="W1156" s="1583"/>
    </row>
    <row r="1157" spans="1:23" ht="7.35" customHeight="1">
      <c r="B1157" s="1580" t="s">
        <v>1994</v>
      </c>
      <c r="C1157" s="1580"/>
      <c r="D1157" s="1580"/>
      <c r="E1157" s="1585"/>
      <c r="F1157" s="1585"/>
      <c r="G1157" s="1585"/>
      <c r="H1157" s="1585"/>
      <c r="I1157" s="1585"/>
      <c r="J1157" s="1585"/>
      <c r="K1157" s="1585"/>
      <c r="L1157" s="1585"/>
      <c r="M1157" s="1585"/>
      <c r="N1157" s="1585"/>
      <c r="O1157" s="1585"/>
      <c r="P1157" s="1585"/>
      <c r="Q1157" s="1585"/>
      <c r="R1157" s="1582"/>
      <c r="S1157" s="1582"/>
      <c r="T1157" s="1582" t="s">
        <v>7018</v>
      </c>
      <c r="U1157" s="1582"/>
    </row>
    <row r="1158" spans="1:23" ht="6.75" customHeight="1">
      <c r="E1158" s="1585"/>
      <c r="F1158" s="1585"/>
      <c r="G1158" s="1585"/>
      <c r="H1158" s="1585"/>
      <c r="I1158" s="1585"/>
      <c r="J1158" s="1585"/>
      <c r="K1158" s="1585"/>
      <c r="L1158" s="1585"/>
      <c r="M1158" s="1585"/>
      <c r="N1158" s="1585"/>
      <c r="O1158" s="1585"/>
      <c r="P1158" s="1585"/>
      <c r="Q1158" s="1585"/>
      <c r="R1158" s="1582"/>
      <c r="S1158" s="1582"/>
      <c r="T1158" s="1582"/>
      <c r="U1158" s="1582"/>
    </row>
    <row r="1159" spans="1:23" ht="10.9" customHeight="1">
      <c r="A1159" s="1576"/>
      <c r="B1159" s="1576"/>
      <c r="C1159" s="1576"/>
      <c r="D1159" s="1576"/>
      <c r="E1159" s="1576"/>
      <c r="F1159" s="1576"/>
      <c r="G1159" s="1576"/>
      <c r="H1159" s="1576"/>
      <c r="I1159" s="1576"/>
      <c r="J1159" s="1577" t="s">
        <v>1314</v>
      </c>
      <c r="K1159" s="1577"/>
      <c r="L1159" s="1577" t="s">
        <v>1315</v>
      </c>
      <c r="M1159" s="1577"/>
      <c r="N1159" s="1577"/>
      <c r="O1159" s="1577" t="s">
        <v>1316</v>
      </c>
      <c r="P1159" s="1577"/>
      <c r="Q1159" s="1577"/>
      <c r="R1159" s="1577"/>
      <c r="S1159" s="1577"/>
      <c r="T1159" s="1577"/>
      <c r="U1159" s="1577"/>
    </row>
    <row r="1160" spans="1:23" ht="14.1" customHeight="1">
      <c r="A1160" s="1578" t="s">
        <v>1317</v>
      </c>
      <c r="B1160" s="1578"/>
      <c r="C1160" s="1578" t="s">
        <v>1318</v>
      </c>
      <c r="D1160" s="1578"/>
      <c r="E1160" s="1578"/>
      <c r="F1160" s="1578" t="s">
        <v>1319</v>
      </c>
      <c r="G1160" s="1578"/>
      <c r="H1160" s="1578"/>
      <c r="I1160" s="1578"/>
      <c r="J1160" s="1413" t="s">
        <v>1320</v>
      </c>
      <c r="K1160" s="1413" t="s">
        <v>1321</v>
      </c>
      <c r="L1160" s="1413" t="s">
        <v>1320</v>
      </c>
      <c r="M1160" s="1579" t="s">
        <v>1321</v>
      </c>
      <c r="N1160" s="1579"/>
      <c r="O1160" s="1579" t="s">
        <v>1320</v>
      </c>
      <c r="P1160" s="1579"/>
      <c r="Q1160" s="1579" t="s">
        <v>1321</v>
      </c>
      <c r="R1160" s="1579"/>
      <c r="S1160" s="1579"/>
      <c r="T1160" s="1579"/>
      <c r="U1160" s="1579"/>
    </row>
    <row r="1161" spans="1:23" ht="14.1" customHeight="1">
      <c r="A1161" s="1574" t="s">
        <v>345</v>
      </c>
      <c r="B1161" s="1574"/>
      <c r="C1161" s="1574" t="s">
        <v>3067</v>
      </c>
      <c r="D1161" s="1574"/>
      <c r="E1161" s="1574"/>
      <c r="F1161" s="1574" t="s">
        <v>2323</v>
      </c>
      <c r="G1161" s="1574"/>
      <c r="H1161" s="1574"/>
      <c r="I1161" s="1574"/>
      <c r="J1161" s="1412">
        <v>0</v>
      </c>
      <c r="K1161" s="1412">
        <v>0</v>
      </c>
      <c r="L1161" s="1412">
        <v>143723.85</v>
      </c>
      <c r="M1161" s="1575">
        <v>143723.85</v>
      </c>
      <c r="N1161" s="1575"/>
      <c r="O1161" s="1575">
        <v>0</v>
      </c>
      <c r="P1161" s="1575"/>
      <c r="Q1161" s="1575">
        <v>0</v>
      </c>
      <c r="R1161" s="1575"/>
      <c r="S1161" s="1575"/>
      <c r="T1161" s="1575"/>
      <c r="U1161" s="1575"/>
    </row>
    <row r="1162" spans="1:23" ht="10.9" customHeight="1">
      <c r="A1162" s="1574" t="s">
        <v>345</v>
      </c>
      <c r="B1162" s="1574"/>
      <c r="C1162" s="1574" t="s">
        <v>6554</v>
      </c>
      <c r="D1162" s="1574"/>
      <c r="E1162" s="1574"/>
      <c r="F1162" s="1574" t="s">
        <v>6551</v>
      </c>
      <c r="G1162" s="1574"/>
      <c r="H1162" s="1574"/>
      <c r="I1162" s="1574"/>
      <c r="J1162" s="1412">
        <v>0</v>
      </c>
      <c r="K1162" s="1412">
        <v>0</v>
      </c>
      <c r="L1162" s="1412">
        <v>0</v>
      </c>
      <c r="M1162" s="1575">
        <v>0</v>
      </c>
      <c r="N1162" s="1575"/>
      <c r="O1162" s="1575">
        <v>0</v>
      </c>
      <c r="P1162" s="1575"/>
      <c r="Q1162" s="1575">
        <v>0</v>
      </c>
      <c r="R1162" s="1575"/>
      <c r="S1162" s="1575"/>
      <c r="T1162" s="1575"/>
      <c r="U1162" s="1575"/>
    </row>
    <row r="1163" spans="1:23" ht="19.149999999999999" customHeight="1">
      <c r="A1163" s="1574" t="s">
        <v>345</v>
      </c>
      <c r="B1163" s="1574"/>
      <c r="C1163" s="1574" t="s">
        <v>3068</v>
      </c>
      <c r="D1163" s="1574"/>
      <c r="E1163" s="1574"/>
      <c r="F1163" s="1574" t="s">
        <v>3002</v>
      </c>
      <c r="G1163" s="1574"/>
      <c r="H1163" s="1574"/>
      <c r="I1163" s="1574"/>
      <c r="J1163" s="1412">
        <v>0</v>
      </c>
      <c r="K1163" s="1412">
        <v>0</v>
      </c>
      <c r="L1163" s="1412">
        <v>125181.44</v>
      </c>
      <c r="M1163" s="1575">
        <v>125181.44</v>
      </c>
      <c r="N1163" s="1575"/>
      <c r="O1163" s="1575">
        <v>0</v>
      </c>
      <c r="P1163" s="1575"/>
      <c r="Q1163" s="1575">
        <v>0</v>
      </c>
      <c r="R1163" s="1575"/>
      <c r="S1163" s="1575"/>
      <c r="T1163" s="1575"/>
      <c r="U1163" s="1575"/>
    </row>
    <row r="1164" spans="1:23" ht="10.9" customHeight="1">
      <c r="A1164" s="1574" t="s">
        <v>345</v>
      </c>
      <c r="B1164" s="1574"/>
      <c r="C1164" s="1574" t="s">
        <v>3069</v>
      </c>
      <c r="D1164" s="1574"/>
      <c r="E1164" s="1574"/>
      <c r="F1164" s="1574" t="s">
        <v>0</v>
      </c>
      <c r="G1164" s="1574"/>
      <c r="H1164" s="1574"/>
      <c r="I1164" s="1574"/>
      <c r="J1164" s="1412">
        <v>0</v>
      </c>
      <c r="K1164" s="1412">
        <v>0</v>
      </c>
      <c r="L1164" s="1412">
        <v>105995.54</v>
      </c>
      <c r="M1164" s="1575">
        <v>105995.54</v>
      </c>
      <c r="N1164" s="1575"/>
      <c r="O1164" s="1575">
        <v>0</v>
      </c>
      <c r="P1164" s="1575"/>
      <c r="Q1164" s="1575">
        <v>0</v>
      </c>
      <c r="R1164" s="1575"/>
      <c r="S1164" s="1575"/>
      <c r="T1164" s="1575"/>
      <c r="U1164" s="1575"/>
    </row>
    <row r="1165" spans="1:23" ht="10.9" customHeight="1">
      <c r="A1165" s="1574" t="s">
        <v>345</v>
      </c>
      <c r="B1165" s="1574"/>
      <c r="C1165" s="1574" t="s">
        <v>3174</v>
      </c>
      <c r="D1165" s="1574"/>
      <c r="E1165" s="1574"/>
      <c r="F1165" s="1574" t="s">
        <v>3172</v>
      </c>
      <c r="G1165" s="1574"/>
      <c r="H1165" s="1574"/>
      <c r="I1165" s="1574"/>
      <c r="J1165" s="1412">
        <v>0</v>
      </c>
      <c r="K1165" s="1412">
        <v>0</v>
      </c>
      <c r="L1165" s="1412">
        <v>19185.900000000001</v>
      </c>
      <c r="M1165" s="1575">
        <v>19185.900000000001</v>
      </c>
      <c r="N1165" s="1575"/>
      <c r="O1165" s="1575">
        <v>0</v>
      </c>
      <c r="P1165" s="1575"/>
      <c r="Q1165" s="1575">
        <v>0</v>
      </c>
      <c r="R1165" s="1575"/>
      <c r="S1165" s="1575"/>
      <c r="T1165" s="1575"/>
      <c r="U1165" s="1575"/>
    </row>
    <row r="1166" spans="1:23" ht="19.149999999999999" customHeight="1">
      <c r="A1166" s="1574" t="s">
        <v>345</v>
      </c>
      <c r="B1166" s="1574"/>
      <c r="C1166" s="1574" t="s">
        <v>3070</v>
      </c>
      <c r="D1166" s="1574"/>
      <c r="E1166" s="1574"/>
      <c r="F1166" s="1574" t="s">
        <v>2993</v>
      </c>
      <c r="G1166" s="1574"/>
      <c r="H1166" s="1574"/>
      <c r="I1166" s="1574"/>
      <c r="J1166" s="1412">
        <v>0</v>
      </c>
      <c r="K1166" s="1412">
        <v>0</v>
      </c>
      <c r="L1166" s="1412">
        <v>817191.3</v>
      </c>
      <c r="M1166" s="1575">
        <v>817191.3</v>
      </c>
      <c r="N1166" s="1575"/>
      <c r="O1166" s="1575">
        <v>0</v>
      </c>
      <c r="P1166" s="1575"/>
      <c r="Q1166" s="1575">
        <v>0</v>
      </c>
      <c r="R1166" s="1575"/>
      <c r="S1166" s="1575"/>
      <c r="T1166" s="1575"/>
      <c r="U1166" s="1575"/>
    </row>
    <row r="1167" spans="1:23" ht="10.9" customHeight="1">
      <c r="A1167" s="1574" t="s">
        <v>345</v>
      </c>
      <c r="B1167" s="1574"/>
      <c r="C1167" s="1574" t="s">
        <v>3071</v>
      </c>
      <c r="D1167" s="1574"/>
      <c r="E1167" s="1574"/>
      <c r="F1167" s="1574" t="s">
        <v>2328</v>
      </c>
      <c r="G1167" s="1574"/>
      <c r="H1167" s="1574"/>
      <c r="I1167" s="1574"/>
      <c r="J1167" s="1412">
        <v>0</v>
      </c>
      <c r="K1167" s="1412">
        <v>0</v>
      </c>
      <c r="L1167" s="1412">
        <v>761906.14</v>
      </c>
      <c r="M1167" s="1575">
        <v>761906.14</v>
      </c>
      <c r="N1167" s="1575"/>
      <c r="O1167" s="1575">
        <v>0</v>
      </c>
      <c r="P1167" s="1575"/>
      <c r="Q1167" s="1575">
        <v>0</v>
      </c>
      <c r="R1167" s="1575"/>
      <c r="S1167" s="1575"/>
      <c r="T1167" s="1575"/>
      <c r="U1167" s="1575"/>
    </row>
    <row r="1168" spans="1:23" ht="10.9" customHeight="1">
      <c r="A1168" s="1574" t="s">
        <v>345</v>
      </c>
      <c r="B1168" s="1574"/>
      <c r="C1168" s="1574" t="s">
        <v>3072</v>
      </c>
      <c r="D1168" s="1574"/>
      <c r="E1168" s="1574"/>
      <c r="F1168" s="1574" t="s">
        <v>2329</v>
      </c>
      <c r="G1168" s="1574"/>
      <c r="H1168" s="1574"/>
      <c r="I1168" s="1574"/>
      <c r="J1168" s="1412">
        <v>0</v>
      </c>
      <c r="K1168" s="1412">
        <v>0</v>
      </c>
      <c r="L1168" s="1412">
        <v>55285.16</v>
      </c>
      <c r="M1168" s="1575">
        <v>55285.16</v>
      </c>
      <c r="N1168" s="1575"/>
      <c r="O1168" s="1575">
        <v>0</v>
      </c>
      <c r="P1168" s="1575"/>
      <c r="Q1168" s="1575">
        <v>0</v>
      </c>
      <c r="R1168" s="1575"/>
      <c r="S1168" s="1575"/>
      <c r="T1168" s="1575"/>
      <c r="U1168" s="1575"/>
    </row>
    <row r="1169" spans="1:21" ht="10.9" customHeight="1">
      <c r="A1169" s="1574" t="s">
        <v>345</v>
      </c>
      <c r="B1169" s="1574"/>
      <c r="C1169" s="1574" t="s">
        <v>3319</v>
      </c>
      <c r="D1169" s="1574"/>
      <c r="E1169" s="1574"/>
      <c r="F1169" s="1574" t="s">
        <v>3311</v>
      </c>
      <c r="G1169" s="1574"/>
      <c r="H1169" s="1574"/>
      <c r="I1169" s="1574"/>
      <c r="J1169" s="1412">
        <v>0</v>
      </c>
      <c r="K1169" s="1412">
        <v>0</v>
      </c>
      <c r="L1169" s="1412">
        <v>0</v>
      </c>
      <c r="M1169" s="1575">
        <v>0</v>
      </c>
      <c r="N1169" s="1575"/>
      <c r="O1169" s="1575">
        <v>0</v>
      </c>
      <c r="P1169" s="1575"/>
      <c r="Q1169" s="1575">
        <v>0</v>
      </c>
      <c r="R1169" s="1575"/>
      <c r="S1169" s="1575"/>
      <c r="T1169" s="1575"/>
      <c r="U1169" s="1575"/>
    </row>
    <row r="1170" spans="1:21" ht="10.9" customHeight="1">
      <c r="A1170" s="1574" t="s">
        <v>345</v>
      </c>
      <c r="B1170" s="1574"/>
      <c r="C1170" s="1574" t="s">
        <v>3073</v>
      </c>
      <c r="D1170" s="1574"/>
      <c r="E1170" s="1574"/>
      <c r="F1170" s="1574" t="s">
        <v>2995</v>
      </c>
      <c r="G1170" s="1574"/>
      <c r="H1170" s="1574"/>
      <c r="I1170" s="1574"/>
      <c r="J1170" s="1412">
        <v>0</v>
      </c>
      <c r="K1170" s="1412">
        <v>0</v>
      </c>
      <c r="L1170" s="1412">
        <v>0</v>
      </c>
      <c r="M1170" s="1575">
        <v>0</v>
      </c>
      <c r="N1170" s="1575"/>
      <c r="O1170" s="1575">
        <v>0</v>
      </c>
      <c r="P1170" s="1575"/>
      <c r="Q1170" s="1575">
        <v>0</v>
      </c>
      <c r="R1170" s="1575"/>
      <c r="S1170" s="1575"/>
      <c r="T1170" s="1575"/>
      <c r="U1170" s="1575"/>
    </row>
    <row r="1171" spans="1:21" ht="10.9" customHeight="1">
      <c r="A1171" s="1574" t="s">
        <v>345</v>
      </c>
      <c r="B1171" s="1574"/>
      <c r="C1171" s="1574" t="s">
        <v>5975</v>
      </c>
      <c r="D1171" s="1574"/>
      <c r="E1171" s="1574"/>
      <c r="F1171" s="1574" t="s">
        <v>5972</v>
      </c>
      <c r="G1171" s="1574"/>
      <c r="H1171" s="1574"/>
      <c r="I1171" s="1574"/>
      <c r="J1171" s="1412">
        <v>0</v>
      </c>
      <c r="K1171" s="1412">
        <v>0</v>
      </c>
      <c r="L1171" s="1412">
        <v>0</v>
      </c>
      <c r="M1171" s="1575">
        <v>0</v>
      </c>
      <c r="N1171" s="1575"/>
      <c r="O1171" s="1575">
        <v>0</v>
      </c>
      <c r="P1171" s="1575"/>
      <c r="Q1171" s="1575">
        <v>0</v>
      </c>
      <c r="R1171" s="1575"/>
      <c r="S1171" s="1575"/>
      <c r="T1171" s="1575"/>
      <c r="U1171" s="1575"/>
    </row>
    <row r="1172" spans="1:21" ht="10.9" customHeight="1">
      <c r="A1172" s="1574" t="s">
        <v>345</v>
      </c>
      <c r="B1172" s="1574"/>
      <c r="C1172" s="1574" t="s">
        <v>3074</v>
      </c>
      <c r="D1172" s="1574"/>
      <c r="E1172" s="1574"/>
      <c r="F1172" s="1574" t="s">
        <v>2331</v>
      </c>
      <c r="G1172" s="1574"/>
      <c r="H1172" s="1574"/>
      <c r="I1172" s="1574"/>
      <c r="J1172" s="1412">
        <v>0</v>
      </c>
      <c r="K1172" s="1412">
        <v>0</v>
      </c>
      <c r="L1172" s="1412">
        <v>0</v>
      </c>
      <c r="M1172" s="1575">
        <v>0</v>
      </c>
      <c r="N1172" s="1575"/>
      <c r="O1172" s="1575">
        <v>0</v>
      </c>
      <c r="P1172" s="1575"/>
      <c r="Q1172" s="1575">
        <v>0</v>
      </c>
      <c r="R1172" s="1575"/>
      <c r="S1172" s="1575"/>
      <c r="T1172" s="1575"/>
      <c r="U1172" s="1575"/>
    </row>
    <row r="1173" spans="1:21" ht="10.9" customHeight="1">
      <c r="A1173" s="1574" t="s">
        <v>345</v>
      </c>
      <c r="B1173" s="1574"/>
      <c r="C1173" s="1574" t="s">
        <v>1684</v>
      </c>
      <c r="D1173" s="1574"/>
      <c r="E1173" s="1574"/>
      <c r="F1173" s="1574" t="s">
        <v>1685</v>
      </c>
      <c r="G1173" s="1574"/>
      <c r="H1173" s="1574"/>
      <c r="I1173" s="1574"/>
      <c r="J1173" s="1412">
        <v>0</v>
      </c>
      <c r="K1173" s="1412">
        <v>98514262.629999995</v>
      </c>
      <c r="L1173" s="1412">
        <v>0</v>
      </c>
      <c r="M1173" s="1575">
        <v>7752578.0800000001</v>
      </c>
      <c r="N1173" s="1575"/>
      <c r="O1173" s="1575">
        <v>0</v>
      </c>
      <c r="P1173" s="1575"/>
      <c r="Q1173" s="1575">
        <v>106266840.70999999</v>
      </c>
      <c r="R1173" s="1575"/>
      <c r="S1173" s="1575"/>
      <c r="T1173" s="1575"/>
      <c r="U1173" s="1575"/>
    </row>
    <row r="1174" spans="1:21" ht="27.2" customHeight="1">
      <c r="A1174" s="1574" t="s">
        <v>345</v>
      </c>
      <c r="B1174" s="1574"/>
      <c r="C1174" s="1574" t="s">
        <v>3075</v>
      </c>
      <c r="D1174" s="1574"/>
      <c r="E1174" s="1574"/>
      <c r="F1174" s="1574" t="s">
        <v>2991</v>
      </c>
      <c r="G1174" s="1574"/>
      <c r="H1174" s="1574"/>
      <c r="I1174" s="1574"/>
      <c r="J1174" s="1412">
        <v>0</v>
      </c>
      <c r="K1174" s="1412">
        <v>91098820.670000002</v>
      </c>
      <c r="L1174" s="1412">
        <v>0</v>
      </c>
      <c r="M1174" s="1575">
        <v>6935386.7800000003</v>
      </c>
      <c r="N1174" s="1575"/>
      <c r="O1174" s="1575">
        <v>0</v>
      </c>
      <c r="P1174" s="1575"/>
      <c r="Q1174" s="1575">
        <v>98034207.450000003</v>
      </c>
      <c r="R1174" s="1575"/>
      <c r="S1174" s="1575"/>
      <c r="T1174" s="1575"/>
      <c r="U1174" s="1575"/>
    </row>
    <row r="1175" spans="1:21" ht="19.149999999999999" customHeight="1">
      <c r="A1175" s="1574" t="s">
        <v>345</v>
      </c>
      <c r="B1175" s="1574"/>
      <c r="C1175" s="1574" t="s">
        <v>3076</v>
      </c>
      <c r="D1175" s="1574"/>
      <c r="E1175" s="1574"/>
      <c r="F1175" s="1574" t="s">
        <v>3002</v>
      </c>
      <c r="G1175" s="1574"/>
      <c r="H1175" s="1574"/>
      <c r="I1175" s="1574"/>
      <c r="J1175" s="1412">
        <v>0</v>
      </c>
      <c r="K1175" s="1412">
        <v>86655664.909999996</v>
      </c>
      <c r="L1175" s="1412">
        <v>0</v>
      </c>
      <c r="M1175" s="1575">
        <v>6810205.3399999999</v>
      </c>
      <c r="N1175" s="1575"/>
      <c r="O1175" s="1575">
        <v>0</v>
      </c>
      <c r="P1175" s="1575"/>
      <c r="Q1175" s="1575">
        <v>93465870.25</v>
      </c>
      <c r="R1175" s="1575"/>
      <c r="S1175" s="1575"/>
      <c r="T1175" s="1575"/>
      <c r="U1175" s="1575"/>
    </row>
    <row r="1176" spans="1:21" ht="10.9" customHeight="1">
      <c r="A1176" s="1574" t="s">
        <v>345</v>
      </c>
      <c r="B1176" s="1574"/>
      <c r="C1176" s="1574" t="s">
        <v>3077</v>
      </c>
      <c r="D1176" s="1574"/>
      <c r="E1176" s="1574"/>
      <c r="F1176" s="1574" t="s">
        <v>2311</v>
      </c>
      <c r="G1176" s="1574"/>
      <c r="H1176" s="1574"/>
      <c r="I1176" s="1574"/>
      <c r="J1176" s="1412">
        <v>0</v>
      </c>
      <c r="K1176" s="1412">
        <v>3273415.88</v>
      </c>
      <c r="L1176" s="1412">
        <v>0</v>
      </c>
      <c r="M1176" s="1575">
        <v>270844.79999999999</v>
      </c>
      <c r="N1176" s="1575"/>
      <c r="O1176" s="1575">
        <v>0</v>
      </c>
      <c r="P1176" s="1575"/>
      <c r="Q1176" s="1575">
        <v>3544260.68</v>
      </c>
      <c r="R1176" s="1575"/>
      <c r="S1176" s="1575"/>
      <c r="T1176" s="1575"/>
      <c r="U1176" s="1575"/>
    </row>
    <row r="1177" spans="1:21" ht="10.9" customHeight="1">
      <c r="A1177" s="1574" t="s">
        <v>345</v>
      </c>
      <c r="B1177" s="1574"/>
      <c r="C1177" s="1574" t="s">
        <v>3078</v>
      </c>
      <c r="D1177" s="1574"/>
      <c r="E1177" s="1574"/>
      <c r="F1177" s="1574" t="s">
        <v>2313</v>
      </c>
      <c r="G1177" s="1574"/>
      <c r="H1177" s="1574"/>
      <c r="I1177" s="1574"/>
      <c r="J1177" s="1412">
        <v>0</v>
      </c>
      <c r="K1177" s="1412">
        <v>62052402.770000003</v>
      </c>
      <c r="L1177" s="1412">
        <v>0</v>
      </c>
      <c r="M1177" s="1575">
        <v>4914720.3099999996</v>
      </c>
      <c r="N1177" s="1575"/>
      <c r="O1177" s="1575">
        <v>0</v>
      </c>
      <c r="P1177" s="1575"/>
      <c r="Q1177" s="1575">
        <v>66967123.079999998</v>
      </c>
      <c r="R1177" s="1575"/>
      <c r="S1177" s="1575"/>
      <c r="T1177" s="1575"/>
      <c r="U1177" s="1575"/>
    </row>
    <row r="1178" spans="1:21" ht="10.9" customHeight="1">
      <c r="A1178" s="1574" t="s">
        <v>345</v>
      </c>
      <c r="B1178" s="1574"/>
      <c r="C1178" s="1574" t="s">
        <v>3079</v>
      </c>
      <c r="D1178" s="1574"/>
      <c r="E1178" s="1574"/>
      <c r="F1178" s="1574" t="s">
        <v>2314</v>
      </c>
      <c r="G1178" s="1574"/>
      <c r="H1178" s="1574"/>
      <c r="I1178" s="1574"/>
      <c r="J1178" s="1412">
        <v>0</v>
      </c>
      <c r="K1178" s="1412">
        <v>6105116.2999999998</v>
      </c>
      <c r="L1178" s="1412">
        <v>0</v>
      </c>
      <c r="M1178" s="1575">
        <v>505804.04</v>
      </c>
      <c r="N1178" s="1575"/>
      <c r="O1178" s="1575">
        <v>0</v>
      </c>
      <c r="P1178" s="1575"/>
      <c r="Q1178" s="1575">
        <v>6610920.3399999999</v>
      </c>
      <c r="R1178" s="1575"/>
      <c r="S1178" s="1575"/>
      <c r="T1178" s="1575"/>
      <c r="U1178" s="1575"/>
    </row>
    <row r="1179" spans="1:21" ht="10.9" customHeight="1">
      <c r="A1179" s="1574" t="s">
        <v>345</v>
      </c>
      <c r="B1179" s="1574"/>
      <c r="C1179" s="1574" t="s">
        <v>3080</v>
      </c>
      <c r="D1179" s="1574"/>
      <c r="E1179" s="1574"/>
      <c r="F1179" s="1574" t="s">
        <v>2315</v>
      </c>
      <c r="G1179" s="1574"/>
      <c r="H1179" s="1574"/>
      <c r="I1179" s="1574"/>
      <c r="J1179" s="1412">
        <v>0</v>
      </c>
      <c r="K1179" s="1412">
        <v>21995.86</v>
      </c>
      <c r="L1179" s="1412">
        <v>0</v>
      </c>
      <c r="M1179" s="1575">
        <v>134.43</v>
      </c>
      <c r="N1179" s="1575"/>
      <c r="O1179" s="1575">
        <v>0</v>
      </c>
      <c r="P1179" s="1575"/>
      <c r="Q1179" s="1575">
        <v>22130.29</v>
      </c>
      <c r="R1179" s="1575"/>
      <c r="S1179" s="1575"/>
      <c r="T1179" s="1575"/>
      <c r="U1179" s="1575"/>
    </row>
    <row r="1180" spans="1:21" ht="10.9" customHeight="1">
      <c r="A1180" s="1574" t="s">
        <v>345</v>
      </c>
      <c r="B1180" s="1574"/>
      <c r="C1180" s="1574" t="s">
        <v>3081</v>
      </c>
      <c r="D1180" s="1574"/>
      <c r="E1180" s="1574"/>
      <c r="F1180" s="1574" t="s">
        <v>2316</v>
      </c>
      <c r="G1180" s="1574"/>
      <c r="H1180" s="1574"/>
      <c r="I1180" s="1574"/>
      <c r="J1180" s="1412">
        <v>0</v>
      </c>
      <c r="K1180" s="1412">
        <v>3336948.85</v>
      </c>
      <c r="L1180" s="1412">
        <v>0</v>
      </c>
      <c r="M1180" s="1575">
        <v>246618.91</v>
      </c>
      <c r="N1180" s="1575"/>
      <c r="O1180" s="1575">
        <v>0</v>
      </c>
      <c r="P1180" s="1575"/>
      <c r="Q1180" s="1575">
        <v>3583567.76</v>
      </c>
      <c r="R1180" s="1575"/>
      <c r="S1180" s="1575"/>
      <c r="T1180" s="1575"/>
      <c r="U1180" s="1575"/>
    </row>
    <row r="1181" spans="1:21" ht="10.9" customHeight="1">
      <c r="A1181" s="1574" t="s">
        <v>345</v>
      </c>
      <c r="B1181" s="1574"/>
      <c r="C1181" s="1574" t="s">
        <v>3082</v>
      </c>
      <c r="D1181" s="1574"/>
      <c r="E1181" s="1574"/>
      <c r="F1181" s="1574" t="s">
        <v>2317</v>
      </c>
      <c r="G1181" s="1574"/>
      <c r="H1181" s="1574"/>
      <c r="I1181" s="1574"/>
      <c r="J1181" s="1412">
        <v>0</v>
      </c>
      <c r="K1181" s="1412">
        <v>1440819.21</v>
      </c>
      <c r="L1181" s="1412">
        <v>0</v>
      </c>
      <c r="M1181" s="1575">
        <v>129134.92</v>
      </c>
      <c r="N1181" s="1575"/>
      <c r="O1181" s="1575">
        <v>0</v>
      </c>
      <c r="P1181" s="1575"/>
      <c r="Q1181" s="1575">
        <v>1569954.13</v>
      </c>
      <c r="R1181" s="1575"/>
      <c r="S1181" s="1575"/>
      <c r="T1181" s="1575"/>
      <c r="U1181" s="1575"/>
    </row>
    <row r="1182" spans="1:21" ht="10.9" customHeight="1">
      <c r="A1182" s="1574" t="s">
        <v>345</v>
      </c>
      <c r="B1182" s="1574"/>
      <c r="C1182" s="1574" t="s">
        <v>5691</v>
      </c>
      <c r="D1182" s="1574"/>
      <c r="E1182" s="1574"/>
      <c r="F1182" s="1574" t="s">
        <v>5688</v>
      </c>
      <c r="G1182" s="1574"/>
      <c r="H1182" s="1574"/>
      <c r="I1182" s="1574"/>
      <c r="J1182" s="1412">
        <v>0</v>
      </c>
      <c r="K1182" s="1412">
        <v>55417.25</v>
      </c>
      <c r="L1182" s="1412">
        <v>0</v>
      </c>
      <c r="M1182" s="1575">
        <v>0</v>
      </c>
      <c r="N1182" s="1575"/>
      <c r="O1182" s="1575">
        <v>0</v>
      </c>
      <c r="P1182" s="1575"/>
      <c r="Q1182" s="1575">
        <v>55417.25</v>
      </c>
      <c r="R1182" s="1575"/>
      <c r="S1182" s="1575"/>
      <c r="T1182" s="1575"/>
      <c r="U1182" s="1575"/>
    </row>
    <row r="1183" spans="1:21" ht="10.9" customHeight="1">
      <c r="A1183" s="1574" t="s">
        <v>345</v>
      </c>
      <c r="B1183" s="1574"/>
      <c r="C1183" s="1574" t="s">
        <v>3083</v>
      </c>
      <c r="D1183" s="1574"/>
      <c r="E1183" s="1574"/>
      <c r="F1183" s="1574" t="s">
        <v>2318</v>
      </c>
      <c r="G1183" s="1574"/>
      <c r="H1183" s="1574"/>
      <c r="I1183" s="1574"/>
      <c r="J1183" s="1412">
        <v>0</v>
      </c>
      <c r="K1183" s="1412">
        <v>414822.35</v>
      </c>
      <c r="L1183" s="1412">
        <v>0</v>
      </c>
      <c r="M1183" s="1575">
        <v>25865.95</v>
      </c>
      <c r="N1183" s="1575"/>
      <c r="O1183" s="1575">
        <v>0</v>
      </c>
      <c r="P1183" s="1575"/>
      <c r="Q1183" s="1575">
        <v>440688.3</v>
      </c>
      <c r="R1183" s="1575"/>
      <c r="S1183" s="1575"/>
      <c r="T1183" s="1575"/>
      <c r="U1183" s="1575"/>
    </row>
    <row r="1184" spans="1:21" ht="10.9" customHeight="1">
      <c r="A1184" s="1574" t="s">
        <v>345</v>
      </c>
      <c r="B1184" s="1574"/>
      <c r="C1184" s="1574" t="s">
        <v>3084</v>
      </c>
      <c r="D1184" s="1574"/>
      <c r="E1184" s="1574"/>
      <c r="F1184" s="1574" t="s">
        <v>2319</v>
      </c>
      <c r="G1184" s="1574"/>
      <c r="H1184" s="1574"/>
      <c r="I1184" s="1574"/>
      <c r="J1184" s="1412">
        <v>0</v>
      </c>
      <c r="K1184" s="1412">
        <v>6495463.2199999997</v>
      </c>
      <c r="L1184" s="1412">
        <v>0</v>
      </c>
      <c r="M1184" s="1575">
        <v>396070.29</v>
      </c>
      <c r="N1184" s="1575"/>
      <c r="O1184" s="1575">
        <v>0</v>
      </c>
      <c r="P1184" s="1575"/>
      <c r="Q1184" s="1575">
        <v>6891533.5099999998</v>
      </c>
      <c r="R1184" s="1575"/>
      <c r="S1184" s="1575"/>
      <c r="T1184" s="1575"/>
      <c r="U1184" s="1575"/>
    </row>
    <row r="1185" spans="1:23" ht="10.9" customHeight="1">
      <c r="A1185" s="1574" t="s">
        <v>345</v>
      </c>
      <c r="B1185" s="1574"/>
      <c r="C1185" s="1574" t="s">
        <v>3085</v>
      </c>
      <c r="D1185" s="1574"/>
      <c r="E1185" s="1574"/>
      <c r="F1185" s="1574" t="s">
        <v>2320</v>
      </c>
      <c r="G1185" s="1574"/>
      <c r="H1185" s="1574"/>
      <c r="I1185" s="1574"/>
      <c r="J1185" s="1412">
        <v>0</v>
      </c>
      <c r="K1185" s="1412">
        <v>698442.47</v>
      </c>
      <c r="L1185" s="1412">
        <v>0</v>
      </c>
      <c r="M1185" s="1575">
        <v>48721.22</v>
      </c>
      <c r="N1185" s="1575"/>
      <c r="O1185" s="1575">
        <v>0</v>
      </c>
      <c r="P1185" s="1575"/>
      <c r="Q1185" s="1575">
        <v>747163.69</v>
      </c>
      <c r="R1185" s="1575"/>
      <c r="S1185" s="1575"/>
      <c r="T1185" s="1575"/>
      <c r="U1185" s="1575"/>
    </row>
    <row r="1186" spans="1:23" ht="10.9" customHeight="1">
      <c r="A1186" s="1574" t="s">
        <v>345</v>
      </c>
      <c r="B1186" s="1574"/>
      <c r="C1186" s="1574" t="s">
        <v>5926</v>
      </c>
      <c r="D1186" s="1574"/>
      <c r="E1186" s="1574"/>
      <c r="F1186" s="1574" t="s">
        <v>5919</v>
      </c>
      <c r="G1186" s="1574"/>
      <c r="H1186" s="1574"/>
      <c r="I1186" s="1574"/>
      <c r="J1186" s="1412">
        <v>0</v>
      </c>
      <c r="K1186" s="1412">
        <v>57826.559999999998</v>
      </c>
      <c r="L1186" s="1412">
        <v>0</v>
      </c>
      <c r="M1186" s="1575">
        <v>0</v>
      </c>
      <c r="N1186" s="1575"/>
      <c r="O1186" s="1575">
        <v>0</v>
      </c>
      <c r="P1186" s="1575"/>
      <c r="Q1186" s="1575">
        <v>57826.559999999998</v>
      </c>
      <c r="R1186" s="1575"/>
      <c r="S1186" s="1575"/>
      <c r="T1186" s="1575"/>
      <c r="U1186" s="1575"/>
    </row>
    <row r="1187" spans="1:23" ht="10.9" customHeight="1">
      <c r="A1187" s="1574" t="s">
        <v>345</v>
      </c>
      <c r="B1187" s="1574"/>
      <c r="C1187" s="1574" t="s">
        <v>3086</v>
      </c>
      <c r="D1187" s="1574"/>
      <c r="E1187" s="1574"/>
      <c r="F1187" s="1574" t="s">
        <v>2321</v>
      </c>
      <c r="G1187" s="1574"/>
      <c r="H1187" s="1574"/>
      <c r="I1187" s="1574"/>
      <c r="J1187" s="1412">
        <v>0</v>
      </c>
      <c r="K1187" s="1412">
        <v>337281.12</v>
      </c>
      <c r="L1187" s="1412">
        <v>0</v>
      </c>
      <c r="M1187" s="1575">
        <v>28279.56</v>
      </c>
      <c r="N1187" s="1575"/>
      <c r="O1187" s="1575">
        <v>0</v>
      </c>
      <c r="P1187" s="1575"/>
      <c r="Q1187" s="1575">
        <v>365560.68</v>
      </c>
      <c r="R1187" s="1575"/>
      <c r="S1187" s="1575"/>
      <c r="T1187" s="1575"/>
      <c r="U1187" s="1575"/>
    </row>
    <row r="1188" spans="1:23" ht="10.9" customHeight="1">
      <c r="A1188" s="1574" t="s">
        <v>345</v>
      </c>
      <c r="B1188" s="1574"/>
      <c r="C1188" s="1574" t="s">
        <v>3087</v>
      </c>
      <c r="D1188" s="1574"/>
      <c r="E1188" s="1574"/>
      <c r="F1188" s="1574" t="s">
        <v>2322</v>
      </c>
      <c r="G1188" s="1574"/>
      <c r="H1188" s="1574"/>
      <c r="I1188" s="1574"/>
      <c r="J1188" s="1412">
        <v>0</v>
      </c>
      <c r="K1188" s="1412">
        <v>249333.85</v>
      </c>
      <c r="L1188" s="1412">
        <v>0</v>
      </c>
      <c r="M1188" s="1575">
        <v>22129.66</v>
      </c>
      <c r="N1188" s="1575"/>
      <c r="O1188" s="1575">
        <v>0</v>
      </c>
      <c r="P1188" s="1575"/>
      <c r="Q1188" s="1575">
        <v>271463.51</v>
      </c>
      <c r="R1188" s="1575"/>
      <c r="S1188" s="1575"/>
      <c r="T1188" s="1575"/>
      <c r="U1188" s="1575"/>
    </row>
    <row r="1189" spans="1:23" ht="10.9" customHeight="1">
      <c r="A1189" s="1574" t="s">
        <v>345</v>
      </c>
      <c r="B1189" s="1574"/>
      <c r="C1189" s="1574" t="s">
        <v>6201</v>
      </c>
      <c r="D1189" s="1574"/>
      <c r="E1189" s="1574"/>
      <c r="F1189" s="1574" t="s">
        <v>6197</v>
      </c>
      <c r="G1189" s="1574"/>
      <c r="H1189" s="1574"/>
      <c r="I1189" s="1574"/>
      <c r="J1189" s="1412">
        <v>0</v>
      </c>
      <c r="K1189" s="1412">
        <v>537.72</v>
      </c>
      <c r="L1189" s="1412">
        <v>0</v>
      </c>
      <c r="M1189" s="1575">
        <v>0</v>
      </c>
      <c r="N1189" s="1575"/>
      <c r="O1189" s="1575">
        <v>0</v>
      </c>
      <c r="P1189" s="1575"/>
      <c r="Q1189" s="1575">
        <v>537.72</v>
      </c>
      <c r="R1189" s="1575"/>
      <c r="S1189" s="1575"/>
      <c r="T1189" s="1575"/>
      <c r="U1189" s="1575"/>
    </row>
    <row r="1190" spans="1:23" ht="10.9" customHeight="1">
      <c r="A1190" s="1574" t="s">
        <v>345</v>
      </c>
      <c r="B1190" s="1574"/>
      <c r="C1190" s="1574" t="s">
        <v>3369</v>
      </c>
      <c r="D1190" s="1574"/>
      <c r="E1190" s="1574"/>
      <c r="F1190" s="1574" t="s">
        <v>2383</v>
      </c>
      <c r="G1190" s="1574"/>
      <c r="H1190" s="1574"/>
      <c r="I1190" s="1574"/>
      <c r="J1190" s="1412">
        <v>0</v>
      </c>
      <c r="K1190" s="1412">
        <v>734998.29</v>
      </c>
      <c r="L1190" s="1412">
        <v>0</v>
      </c>
      <c r="M1190" s="1575">
        <v>78157.399999999994</v>
      </c>
      <c r="N1190" s="1575"/>
      <c r="O1190" s="1575">
        <v>0</v>
      </c>
      <c r="P1190" s="1575"/>
      <c r="Q1190" s="1575">
        <v>813155.69</v>
      </c>
      <c r="R1190" s="1575"/>
      <c r="S1190" s="1575"/>
      <c r="T1190" s="1575"/>
      <c r="U1190" s="1575"/>
    </row>
    <row r="1191" spans="1:23" ht="10.9" customHeight="1">
      <c r="A1191" s="1574" t="s">
        <v>345</v>
      </c>
      <c r="B1191" s="1574"/>
      <c r="C1191" s="1574" t="s">
        <v>3088</v>
      </c>
      <c r="D1191" s="1574"/>
      <c r="E1191" s="1574"/>
      <c r="F1191" s="1574" t="s">
        <v>2323</v>
      </c>
      <c r="G1191" s="1574"/>
      <c r="H1191" s="1574"/>
      <c r="I1191" s="1574"/>
      <c r="J1191" s="1412">
        <v>0</v>
      </c>
      <c r="K1191" s="1412">
        <v>1355491.02</v>
      </c>
      <c r="L1191" s="1412">
        <v>0</v>
      </c>
      <c r="M1191" s="1575">
        <v>143723.85</v>
      </c>
      <c r="N1191" s="1575"/>
      <c r="O1191" s="1575">
        <v>0</v>
      </c>
      <c r="P1191" s="1575"/>
      <c r="Q1191" s="1575">
        <v>1499214.87</v>
      </c>
      <c r="R1191" s="1575"/>
      <c r="S1191" s="1575"/>
      <c r="T1191" s="1575"/>
      <c r="U1191" s="1575"/>
    </row>
    <row r="1192" spans="1:23" ht="10.9" customHeight="1">
      <c r="A1192" s="1574" t="s">
        <v>345</v>
      </c>
      <c r="B1192" s="1574"/>
      <c r="C1192" s="1574" t="s">
        <v>6555</v>
      </c>
      <c r="D1192" s="1574"/>
      <c r="E1192" s="1574"/>
      <c r="F1192" s="1574" t="s">
        <v>6551</v>
      </c>
      <c r="G1192" s="1574"/>
      <c r="H1192" s="1574"/>
      <c r="I1192" s="1574"/>
      <c r="J1192" s="1412">
        <v>0</v>
      </c>
      <c r="K1192" s="1412">
        <v>25352.19</v>
      </c>
      <c r="L1192" s="1412">
        <v>0</v>
      </c>
      <c r="M1192" s="1575">
        <v>0</v>
      </c>
      <c r="N1192" s="1575"/>
      <c r="O1192" s="1575">
        <v>0</v>
      </c>
      <c r="P1192" s="1575"/>
      <c r="Q1192" s="1575">
        <v>25352.19</v>
      </c>
      <c r="R1192" s="1575"/>
      <c r="S1192" s="1575"/>
      <c r="T1192" s="1575"/>
      <c r="U1192" s="1575"/>
    </row>
    <row r="1193" spans="1:23" ht="19.149999999999999" customHeight="1">
      <c r="A1193" s="1574" t="s">
        <v>345</v>
      </c>
      <c r="B1193" s="1574"/>
      <c r="C1193" s="1574" t="s">
        <v>3089</v>
      </c>
      <c r="D1193" s="1574"/>
      <c r="E1193" s="1574"/>
      <c r="F1193" s="1574" t="s">
        <v>3002</v>
      </c>
      <c r="G1193" s="1574"/>
      <c r="H1193" s="1574"/>
      <c r="I1193" s="1574"/>
      <c r="J1193" s="1412">
        <v>0</v>
      </c>
      <c r="K1193" s="1412">
        <v>4443155.76</v>
      </c>
      <c r="L1193" s="1412">
        <v>0</v>
      </c>
      <c r="M1193" s="1575">
        <v>125181.44</v>
      </c>
      <c r="N1193" s="1575"/>
      <c r="O1193" s="1575">
        <v>0</v>
      </c>
      <c r="P1193" s="1575"/>
      <c r="Q1193" s="1575">
        <v>4568337.2</v>
      </c>
      <c r="R1193" s="1575"/>
      <c r="S1193" s="1575"/>
      <c r="T1193" s="1575"/>
      <c r="U1193" s="1575"/>
    </row>
    <row r="1194" spans="1:23" ht="10.9" customHeight="1">
      <c r="A1194" s="1574" t="s">
        <v>345</v>
      </c>
      <c r="B1194" s="1574"/>
      <c r="C1194" s="1574" t="s">
        <v>3090</v>
      </c>
      <c r="D1194" s="1574"/>
      <c r="E1194" s="1574"/>
      <c r="F1194" s="1574" t="s">
        <v>0</v>
      </c>
      <c r="G1194" s="1574"/>
      <c r="H1194" s="1574"/>
      <c r="I1194" s="1574"/>
      <c r="J1194" s="1412">
        <v>0</v>
      </c>
      <c r="K1194" s="1412">
        <v>4290254.46</v>
      </c>
      <c r="L1194" s="1412">
        <v>0</v>
      </c>
      <c r="M1194" s="1575">
        <v>105995.54</v>
      </c>
      <c r="N1194" s="1575"/>
      <c r="O1194" s="1575">
        <v>0</v>
      </c>
      <c r="P1194" s="1575"/>
      <c r="Q1194" s="1575">
        <v>4396250</v>
      </c>
      <c r="R1194" s="1575"/>
      <c r="S1194" s="1575"/>
      <c r="T1194" s="1575"/>
      <c r="U1194" s="1575"/>
    </row>
    <row r="1195" spans="1:23" ht="10.9" customHeight="1">
      <c r="A1195" s="1574" t="s">
        <v>345</v>
      </c>
      <c r="B1195" s="1574"/>
      <c r="C1195" s="1574" t="s">
        <v>3175</v>
      </c>
      <c r="D1195" s="1574"/>
      <c r="E1195" s="1574"/>
      <c r="F1195" s="1574" t="s">
        <v>3172</v>
      </c>
      <c r="G1195" s="1574"/>
      <c r="H1195" s="1574"/>
      <c r="I1195" s="1574"/>
      <c r="J1195" s="1412">
        <v>0</v>
      </c>
      <c r="K1195" s="1412">
        <v>152901.29999999999</v>
      </c>
      <c r="L1195" s="1412">
        <v>0</v>
      </c>
      <c r="M1195" s="1575">
        <v>19185.900000000001</v>
      </c>
      <c r="N1195" s="1575"/>
      <c r="O1195" s="1575">
        <v>0</v>
      </c>
      <c r="P1195" s="1575"/>
      <c r="Q1195" s="1575">
        <v>172087.2</v>
      </c>
      <c r="R1195" s="1575"/>
      <c r="S1195" s="1575"/>
      <c r="T1195" s="1575"/>
      <c r="U1195" s="1575"/>
    </row>
    <row r="1196" spans="1:23" ht="16.7" customHeight="1"/>
    <row r="1197" spans="1:23" ht="14.1" customHeight="1">
      <c r="S1197" s="1573" t="s">
        <v>2737</v>
      </c>
      <c r="T1197" s="1573"/>
      <c r="U1197" s="1573"/>
      <c r="V1197" s="1573"/>
      <c r="W1197" s="1573"/>
    </row>
    <row r="1198" spans="1:23" ht="7.15" customHeight="1">
      <c r="C1198" s="1586" t="s">
        <v>2987</v>
      </c>
      <c r="D1198" s="1586"/>
      <c r="E1198" s="1586"/>
      <c r="F1198" s="1586"/>
      <c r="G1198" s="1586"/>
      <c r="H1198" s="1586"/>
      <c r="I1198" s="1586"/>
      <c r="J1198" s="1586"/>
      <c r="K1198" s="1586"/>
      <c r="L1198" s="1586"/>
      <c r="M1198" s="1586"/>
      <c r="N1198" s="1586"/>
      <c r="O1198" s="1586"/>
      <c r="P1198" s="1586"/>
      <c r="Q1198" s="1586"/>
      <c r="R1198" s="1586"/>
      <c r="S1198" s="1586"/>
      <c r="T1198" s="1586"/>
    </row>
    <row r="1199" spans="1:23" ht="9.6" customHeight="1">
      <c r="A1199" s="1587"/>
      <c r="B1199" s="1587"/>
      <c r="C1199" s="1587"/>
      <c r="D1199" s="1587"/>
      <c r="E1199" s="1587"/>
      <c r="F1199" s="1587"/>
      <c r="G1199" s="1586"/>
      <c r="H1199" s="1586"/>
      <c r="I1199" s="1586"/>
      <c r="J1199" s="1586"/>
      <c r="K1199" s="1586"/>
      <c r="L1199" s="1586"/>
      <c r="M1199" s="1586"/>
      <c r="N1199" s="1586"/>
      <c r="O1199" s="1586"/>
      <c r="P1199" s="1586"/>
      <c r="Q1199" s="1586"/>
      <c r="R1199" s="1586"/>
      <c r="S1199" s="1586"/>
      <c r="T1199" s="1586"/>
    </row>
    <row r="1200" spans="1:23" ht="13.35" customHeight="1">
      <c r="A1200" s="1587"/>
      <c r="B1200" s="1587"/>
      <c r="C1200" s="1587"/>
      <c r="D1200" s="1587"/>
      <c r="E1200" s="1587"/>
      <c r="F1200" s="1587"/>
      <c r="G1200" s="1588" t="s">
        <v>79</v>
      </c>
      <c r="H1200" s="1588"/>
      <c r="I1200" s="1588"/>
      <c r="J1200" s="1588"/>
      <c r="K1200" s="1588"/>
      <c r="L1200" s="1588"/>
      <c r="M1200" s="1588"/>
      <c r="N1200" s="1588"/>
      <c r="O1200" s="1588"/>
      <c r="P1200" s="1588"/>
      <c r="Q1200" s="1588"/>
      <c r="R1200" s="1588"/>
    </row>
    <row r="1201" spans="1:23" ht="5.25" customHeight="1">
      <c r="A1201" s="1587"/>
      <c r="B1201" s="1587"/>
      <c r="C1201" s="1587"/>
      <c r="D1201" s="1587"/>
      <c r="E1201" s="1587"/>
      <c r="F1201" s="1587"/>
      <c r="G1201" s="1581" t="s">
        <v>7015</v>
      </c>
      <c r="H1201" s="1581"/>
      <c r="I1201" s="1581"/>
      <c r="J1201" s="1581"/>
      <c r="K1201" s="1581"/>
      <c r="L1201" s="1581"/>
      <c r="M1201" s="1581"/>
      <c r="N1201" s="1581"/>
      <c r="O1201" s="1581"/>
      <c r="P1201" s="1581"/>
      <c r="Q1201" s="1581"/>
    </row>
    <row r="1202" spans="1:23" ht="8.1" customHeight="1">
      <c r="B1202" s="1580" t="s">
        <v>1916</v>
      </c>
      <c r="C1202" s="1580"/>
      <c r="D1202" s="1580"/>
      <c r="E1202" s="1580"/>
      <c r="F1202" s="1580"/>
      <c r="G1202" s="1580"/>
      <c r="H1202" s="1581"/>
      <c r="I1202" s="1581"/>
      <c r="J1202" s="1581"/>
      <c r="K1202" s="1581"/>
      <c r="L1202" s="1581"/>
      <c r="M1202" s="1581"/>
      <c r="N1202" s="1582" t="s">
        <v>5619</v>
      </c>
      <c r="O1202" s="1582"/>
      <c r="P1202" s="1582"/>
      <c r="Q1202" s="1582"/>
      <c r="R1202" s="1582"/>
      <c r="S1202" s="1582"/>
      <c r="T1202" s="1583" t="s">
        <v>7016</v>
      </c>
      <c r="U1202" s="1583"/>
      <c r="V1202" s="1583"/>
      <c r="W1202" s="1583"/>
    </row>
    <row r="1203" spans="1:23" ht="6" customHeight="1">
      <c r="B1203" s="1580"/>
      <c r="C1203" s="1580"/>
      <c r="D1203" s="1580"/>
      <c r="E1203" s="1580"/>
      <c r="F1203" s="1580"/>
      <c r="G1203" s="1580"/>
      <c r="H1203" s="1584" t="s">
        <v>7017</v>
      </c>
      <c r="I1203" s="1584"/>
      <c r="J1203" s="1584"/>
      <c r="K1203" s="1584"/>
      <c r="L1203" s="1584"/>
      <c r="M1203" s="1584"/>
      <c r="N1203" s="1582"/>
      <c r="O1203" s="1582"/>
      <c r="P1203" s="1582"/>
      <c r="Q1203" s="1582"/>
      <c r="R1203" s="1582"/>
      <c r="S1203" s="1582"/>
      <c r="T1203" s="1583"/>
      <c r="U1203" s="1583"/>
      <c r="V1203" s="1583"/>
      <c r="W1203" s="1583"/>
    </row>
    <row r="1204" spans="1:23" ht="7.35" customHeight="1">
      <c r="B1204" s="1580" t="s">
        <v>1994</v>
      </c>
      <c r="C1204" s="1580"/>
      <c r="D1204" s="1580"/>
      <c r="E1204" s="1585"/>
      <c r="F1204" s="1585"/>
      <c r="G1204" s="1585"/>
      <c r="H1204" s="1585"/>
      <c r="I1204" s="1585"/>
      <c r="J1204" s="1585"/>
      <c r="K1204" s="1585"/>
      <c r="L1204" s="1585"/>
      <c r="M1204" s="1585"/>
      <c r="N1204" s="1585"/>
      <c r="O1204" s="1585"/>
      <c r="P1204" s="1585"/>
      <c r="Q1204" s="1585"/>
      <c r="R1204" s="1582"/>
      <c r="S1204" s="1582"/>
      <c r="T1204" s="1582" t="s">
        <v>7018</v>
      </c>
      <c r="U1204" s="1582"/>
    </row>
    <row r="1205" spans="1:23" ht="6.75" customHeight="1">
      <c r="E1205" s="1585"/>
      <c r="F1205" s="1585"/>
      <c r="G1205" s="1585"/>
      <c r="H1205" s="1585"/>
      <c r="I1205" s="1585"/>
      <c r="J1205" s="1585"/>
      <c r="K1205" s="1585"/>
      <c r="L1205" s="1585"/>
      <c r="M1205" s="1585"/>
      <c r="N1205" s="1585"/>
      <c r="O1205" s="1585"/>
      <c r="P1205" s="1585"/>
      <c r="Q1205" s="1585"/>
      <c r="R1205" s="1582"/>
      <c r="S1205" s="1582"/>
      <c r="T1205" s="1582"/>
      <c r="U1205" s="1582"/>
    </row>
    <row r="1206" spans="1:23" ht="10.9" customHeight="1">
      <c r="A1206" s="1576"/>
      <c r="B1206" s="1576"/>
      <c r="C1206" s="1576"/>
      <c r="D1206" s="1576"/>
      <c r="E1206" s="1576"/>
      <c r="F1206" s="1576"/>
      <c r="G1206" s="1576"/>
      <c r="H1206" s="1576"/>
      <c r="I1206" s="1576"/>
      <c r="J1206" s="1577" t="s">
        <v>1314</v>
      </c>
      <c r="K1206" s="1577"/>
      <c r="L1206" s="1577" t="s">
        <v>1315</v>
      </c>
      <c r="M1206" s="1577"/>
      <c r="N1206" s="1577"/>
      <c r="O1206" s="1577" t="s">
        <v>1316</v>
      </c>
      <c r="P1206" s="1577"/>
      <c r="Q1206" s="1577"/>
      <c r="R1206" s="1577"/>
      <c r="S1206" s="1577"/>
      <c r="T1206" s="1577"/>
      <c r="U1206" s="1577"/>
    </row>
    <row r="1207" spans="1:23" ht="14.1" customHeight="1">
      <c r="A1207" s="1578" t="s">
        <v>1317</v>
      </c>
      <c r="B1207" s="1578"/>
      <c r="C1207" s="1578" t="s">
        <v>1318</v>
      </c>
      <c r="D1207" s="1578"/>
      <c r="E1207" s="1578"/>
      <c r="F1207" s="1578" t="s">
        <v>1319</v>
      </c>
      <c r="G1207" s="1578"/>
      <c r="H1207" s="1578"/>
      <c r="I1207" s="1578"/>
      <c r="J1207" s="1413" t="s">
        <v>1320</v>
      </c>
      <c r="K1207" s="1413" t="s">
        <v>1321</v>
      </c>
      <c r="L1207" s="1413" t="s">
        <v>1320</v>
      </c>
      <c r="M1207" s="1579" t="s">
        <v>1321</v>
      </c>
      <c r="N1207" s="1579"/>
      <c r="O1207" s="1579" t="s">
        <v>1320</v>
      </c>
      <c r="P1207" s="1579"/>
      <c r="Q1207" s="1579" t="s">
        <v>1321</v>
      </c>
      <c r="R1207" s="1579"/>
      <c r="S1207" s="1579"/>
      <c r="T1207" s="1579"/>
      <c r="U1207" s="1579"/>
    </row>
    <row r="1208" spans="1:23" ht="22.5" customHeight="1">
      <c r="A1208" s="1574" t="s">
        <v>345</v>
      </c>
      <c r="B1208" s="1574"/>
      <c r="C1208" s="1574" t="s">
        <v>3091</v>
      </c>
      <c r="D1208" s="1574"/>
      <c r="E1208" s="1574"/>
      <c r="F1208" s="1574" t="s">
        <v>2993</v>
      </c>
      <c r="G1208" s="1574"/>
      <c r="H1208" s="1574"/>
      <c r="I1208" s="1574"/>
      <c r="J1208" s="1412">
        <v>0</v>
      </c>
      <c r="K1208" s="1412">
        <v>7387341.0899999999</v>
      </c>
      <c r="L1208" s="1412">
        <v>0</v>
      </c>
      <c r="M1208" s="1575">
        <v>817191.3</v>
      </c>
      <c r="N1208" s="1575"/>
      <c r="O1208" s="1575">
        <v>0</v>
      </c>
      <c r="P1208" s="1575"/>
      <c r="Q1208" s="1575">
        <v>8204532.3899999997</v>
      </c>
      <c r="R1208" s="1575"/>
      <c r="S1208" s="1575"/>
      <c r="T1208" s="1575"/>
      <c r="U1208" s="1575"/>
    </row>
    <row r="1209" spans="1:23" ht="10.9" customHeight="1">
      <c r="A1209" s="1574" t="s">
        <v>345</v>
      </c>
      <c r="B1209" s="1574"/>
      <c r="C1209" s="1574" t="s">
        <v>3092</v>
      </c>
      <c r="D1209" s="1574"/>
      <c r="E1209" s="1574"/>
      <c r="F1209" s="1574" t="s">
        <v>2328</v>
      </c>
      <c r="G1209" s="1574"/>
      <c r="H1209" s="1574"/>
      <c r="I1209" s="1574"/>
      <c r="J1209" s="1412">
        <v>0</v>
      </c>
      <c r="K1209" s="1412">
        <v>6940050.2400000002</v>
      </c>
      <c r="L1209" s="1412">
        <v>0</v>
      </c>
      <c r="M1209" s="1575">
        <v>761906.14</v>
      </c>
      <c r="N1209" s="1575"/>
      <c r="O1209" s="1575">
        <v>0</v>
      </c>
      <c r="P1209" s="1575"/>
      <c r="Q1209" s="1575">
        <v>7701956.3799999999</v>
      </c>
      <c r="R1209" s="1575"/>
      <c r="S1209" s="1575"/>
      <c r="T1209" s="1575"/>
      <c r="U1209" s="1575"/>
    </row>
    <row r="1210" spans="1:23" ht="10.9" customHeight="1">
      <c r="A1210" s="1574" t="s">
        <v>345</v>
      </c>
      <c r="B1210" s="1574"/>
      <c r="C1210" s="1574" t="s">
        <v>3093</v>
      </c>
      <c r="D1210" s="1574"/>
      <c r="E1210" s="1574"/>
      <c r="F1210" s="1574" t="s">
        <v>2329</v>
      </c>
      <c r="G1210" s="1574"/>
      <c r="H1210" s="1574"/>
      <c r="I1210" s="1574"/>
      <c r="J1210" s="1412">
        <v>0</v>
      </c>
      <c r="K1210" s="1412">
        <v>274295.62</v>
      </c>
      <c r="L1210" s="1412">
        <v>0</v>
      </c>
      <c r="M1210" s="1575">
        <v>55285.16</v>
      </c>
      <c r="N1210" s="1575"/>
      <c r="O1210" s="1575">
        <v>0</v>
      </c>
      <c r="P1210" s="1575"/>
      <c r="Q1210" s="1575">
        <v>329580.78000000003</v>
      </c>
      <c r="R1210" s="1575"/>
      <c r="S1210" s="1575"/>
      <c r="T1210" s="1575"/>
      <c r="U1210" s="1575"/>
    </row>
    <row r="1211" spans="1:23" ht="10.9" customHeight="1">
      <c r="A1211" s="1574" t="s">
        <v>345</v>
      </c>
      <c r="B1211" s="1574"/>
      <c r="C1211" s="1574" t="s">
        <v>3320</v>
      </c>
      <c r="D1211" s="1574"/>
      <c r="E1211" s="1574"/>
      <c r="F1211" s="1574" t="s">
        <v>3311</v>
      </c>
      <c r="G1211" s="1574"/>
      <c r="H1211" s="1574"/>
      <c r="I1211" s="1574"/>
      <c r="J1211" s="1412">
        <v>0</v>
      </c>
      <c r="K1211" s="1412">
        <v>172995.23</v>
      </c>
      <c r="L1211" s="1412">
        <v>0</v>
      </c>
      <c r="M1211" s="1575">
        <v>0</v>
      </c>
      <c r="N1211" s="1575"/>
      <c r="O1211" s="1575">
        <v>0</v>
      </c>
      <c r="P1211" s="1575"/>
      <c r="Q1211" s="1575">
        <v>172995.23</v>
      </c>
      <c r="R1211" s="1575"/>
      <c r="S1211" s="1575"/>
      <c r="T1211" s="1575"/>
      <c r="U1211" s="1575"/>
    </row>
    <row r="1212" spans="1:23" ht="10.9" customHeight="1">
      <c r="A1212" s="1574" t="s">
        <v>345</v>
      </c>
      <c r="B1212" s="1574"/>
      <c r="C1212" s="1574" t="s">
        <v>3094</v>
      </c>
      <c r="D1212" s="1574"/>
      <c r="E1212" s="1574"/>
      <c r="F1212" s="1574" t="s">
        <v>2995</v>
      </c>
      <c r="G1212" s="1574"/>
      <c r="H1212" s="1574"/>
      <c r="I1212" s="1574"/>
      <c r="J1212" s="1412">
        <v>0</v>
      </c>
      <c r="K1212" s="1412">
        <v>28100.87</v>
      </c>
      <c r="L1212" s="1412">
        <v>0</v>
      </c>
      <c r="M1212" s="1575">
        <v>0</v>
      </c>
      <c r="N1212" s="1575"/>
      <c r="O1212" s="1575">
        <v>0</v>
      </c>
      <c r="P1212" s="1575"/>
      <c r="Q1212" s="1575">
        <v>28100.87</v>
      </c>
      <c r="R1212" s="1575"/>
      <c r="S1212" s="1575"/>
      <c r="T1212" s="1575"/>
      <c r="U1212" s="1575"/>
    </row>
    <row r="1213" spans="1:23" ht="10.9" customHeight="1">
      <c r="A1213" s="1574" t="s">
        <v>345</v>
      </c>
      <c r="B1213" s="1574"/>
      <c r="C1213" s="1574" t="s">
        <v>5976</v>
      </c>
      <c r="D1213" s="1574"/>
      <c r="E1213" s="1574"/>
      <c r="F1213" s="1574" t="s">
        <v>5972</v>
      </c>
      <c r="G1213" s="1574"/>
      <c r="H1213" s="1574"/>
      <c r="I1213" s="1574"/>
      <c r="J1213" s="1412">
        <v>0</v>
      </c>
      <c r="K1213" s="1412">
        <v>17.46</v>
      </c>
      <c r="L1213" s="1412">
        <v>0</v>
      </c>
      <c r="M1213" s="1575">
        <v>0</v>
      </c>
      <c r="N1213" s="1575"/>
      <c r="O1213" s="1575">
        <v>0</v>
      </c>
      <c r="P1213" s="1575"/>
      <c r="Q1213" s="1575">
        <v>17.46</v>
      </c>
      <c r="R1213" s="1575"/>
      <c r="S1213" s="1575"/>
      <c r="T1213" s="1575"/>
      <c r="U1213" s="1575"/>
    </row>
    <row r="1214" spans="1:23" ht="10.9" customHeight="1">
      <c r="A1214" s="1574" t="s">
        <v>345</v>
      </c>
      <c r="B1214" s="1574"/>
      <c r="C1214" s="1574" t="s">
        <v>3095</v>
      </c>
      <c r="D1214" s="1574"/>
      <c r="E1214" s="1574"/>
      <c r="F1214" s="1574" t="s">
        <v>2331</v>
      </c>
      <c r="G1214" s="1574"/>
      <c r="H1214" s="1574"/>
      <c r="I1214" s="1574"/>
      <c r="J1214" s="1412">
        <v>0</v>
      </c>
      <c r="K1214" s="1412">
        <v>28083.41</v>
      </c>
      <c r="L1214" s="1412">
        <v>0</v>
      </c>
      <c r="M1214" s="1575">
        <v>0</v>
      </c>
      <c r="N1214" s="1575"/>
      <c r="O1214" s="1575">
        <v>0</v>
      </c>
      <c r="P1214" s="1575"/>
      <c r="Q1214" s="1575">
        <v>28083.41</v>
      </c>
      <c r="R1214" s="1575"/>
      <c r="S1214" s="1575"/>
      <c r="T1214" s="1575"/>
      <c r="U1214" s="1575"/>
    </row>
    <row r="1215" spans="1:23" ht="10.9" customHeight="1">
      <c r="A1215" s="1574" t="s">
        <v>345</v>
      </c>
      <c r="B1215" s="1574"/>
      <c r="C1215" s="1574" t="s">
        <v>2385</v>
      </c>
      <c r="D1215" s="1574"/>
      <c r="E1215" s="1574"/>
      <c r="F1215" s="1574" t="s">
        <v>5622</v>
      </c>
      <c r="G1215" s="1574"/>
      <c r="H1215" s="1574"/>
      <c r="I1215" s="1574"/>
      <c r="J1215" s="1412">
        <v>0</v>
      </c>
      <c r="K1215" s="1412">
        <v>0</v>
      </c>
      <c r="L1215" s="1412">
        <v>33941229</v>
      </c>
      <c r="M1215" s="1575">
        <v>33941229</v>
      </c>
      <c r="N1215" s="1575"/>
      <c r="O1215" s="1575">
        <v>0</v>
      </c>
      <c r="P1215" s="1575"/>
      <c r="Q1215" s="1575">
        <v>0</v>
      </c>
      <c r="R1215" s="1575"/>
      <c r="S1215" s="1575"/>
      <c r="T1215" s="1575"/>
      <c r="U1215" s="1575"/>
    </row>
    <row r="1216" spans="1:23" ht="10.9" customHeight="1">
      <c r="A1216" s="1574" t="s">
        <v>345</v>
      </c>
      <c r="B1216" s="1574"/>
      <c r="C1216" s="1574" t="s">
        <v>1686</v>
      </c>
      <c r="D1216" s="1574"/>
      <c r="E1216" s="1574"/>
      <c r="F1216" s="1574" t="s">
        <v>1687</v>
      </c>
      <c r="G1216" s="1574"/>
      <c r="H1216" s="1574"/>
      <c r="I1216" s="1574"/>
      <c r="J1216" s="1412">
        <v>0</v>
      </c>
      <c r="K1216" s="1412">
        <v>138260281</v>
      </c>
      <c r="L1216" s="1412">
        <v>0</v>
      </c>
      <c r="M1216" s="1575">
        <v>0</v>
      </c>
      <c r="N1216" s="1575"/>
      <c r="O1216" s="1575">
        <v>0</v>
      </c>
      <c r="P1216" s="1575"/>
      <c r="Q1216" s="1575">
        <v>138260281</v>
      </c>
      <c r="R1216" s="1575"/>
      <c r="S1216" s="1575"/>
      <c r="T1216" s="1575"/>
      <c r="U1216" s="1575"/>
    </row>
    <row r="1217" spans="1:21" ht="19.149999999999999" customHeight="1">
      <c r="A1217" s="1574" t="s">
        <v>345</v>
      </c>
      <c r="B1217" s="1574"/>
      <c r="C1217" s="1574" t="s">
        <v>2386</v>
      </c>
      <c r="D1217" s="1574"/>
      <c r="E1217" s="1574"/>
      <c r="F1217" s="1574" t="s">
        <v>2387</v>
      </c>
      <c r="G1217" s="1574"/>
      <c r="H1217" s="1574"/>
      <c r="I1217" s="1574"/>
      <c r="J1217" s="1412">
        <v>0</v>
      </c>
      <c r="K1217" s="1412">
        <v>825678</v>
      </c>
      <c r="L1217" s="1412">
        <v>0</v>
      </c>
      <c r="M1217" s="1575">
        <v>0</v>
      </c>
      <c r="N1217" s="1575"/>
      <c r="O1217" s="1575">
        <v>0</v>
      </c>
      <c r="P1217" s="1575"/>
      <c r="Q1217" s="1575">
        <v>825678</v>
      </c>
      <c r="R1217" s="1575"/>
      <c r="S1217" s="1575"/>
      <c r="T1217" s="1575"/>
      <c r="U1217" s="1575"/>
    </row>
    <row r="1218" spans="1:21" ht="19.149999999999999" customHeight="1">
      <c r="A1218" s="1574" t="s">
        <v>345</v>
      </c>
      <c r="B1218" s="1574"/>
      <c r="C1218" s="1574" t="s">
        <v>2389</v>
      </c>
      <c r="D1218" s="1574"/>
      <c r="E1218" s="1574"/>
      <c r="F1218" s="1574" t="s">
        <v>2390</v>
      </c>
      <c r="G1218" s="1574"/>
      <c r="H1218" s="1574"/>
      <c r="I1218" s="1574"/>
      <c r="J1218" s="1412">
        <v>0</v>
      </c>
      <c r="K1218" s="1412">
        <v>116054</v>
      </c>
      <c r="L1218" s="1412">
        <v>0</v>
      </c>
      <c r="M1218" s="1575">
        <v>0</v>
      </c>
      <c r="N1218" s="1575"/>
      <c r="O1218" s="1575">
        <v>0</v>
      </c>
      <c r="P1218" s="1575"/>
      <c r="Q1218" s="1575">
        <v>116054</v>
      </c>
      <c r="R1218" s="1575"/>
      <c r="S1218" s="1575"/>
      <c r="T1218" s="1575"/>
      <c r="U1218" s="1575"/>
    </row>
    <row r="1219" spans="1:21" ht="19.149999999999999" customHeight="1">
      <c r="A1219" s="1574" t="s">
        <v>345</v>
      </c>
      <c r="B1219" s="1574"/>
      <c r="C1219" s="1574" t="s">
        <v>2391</v>
      </c>
      <c r="D1219" s="1574"/>
      <c r="E1219" s="1574"/>
      <c r="F1219" s="1574" t="s">
        <v>2392</v>
      </c>
      <c r="G1219" s="1574"/>
      <c r="H1219" s="1574"/>
      <c r="I1219" s="1574"/>
      <c r="J1219" s="1412">
        <v>0</v>
      </c>
      <c r="K1219" s="1412">
        <v>11468</v>
      </c>
      <c r="L1219" s="1412">
        <v>0</v>
      </c>
      <c r="M1219" s="1575">
        <v>0</v>
      </c>
      <c r="N1219" s="1575"/>
      <c r="O1219" s="1575">
        <v>0</v>
      </c>
      <c r="P1219" s="1575"/>
      <c r="Q1219" s="1575">
        <v>11468</v>
      </c>
      <c r="R1219" s="1575"/>
      <c r="S1219" s="1575"/>
      <c r="T1219" s="1575"/>
      <c r="U1219" s="1575"/>
    </row>
    <row r="1220" spans="1:21" ht="19.149999999999999" customHeight="1">
      <c r="A1220" s="1574" t="s">
        <v>345</v>
      </c>
      <c r="B1220" s="1574"/>
      <c r="C1220" s="1574" t="s">
        <v>2393</v>
      </c>
      <c r="D1220" s="1574"/>
      <c r="E1220" s="1574"/>
      <c r="F1220" s="1574" t="s">
        <v>2394</v>
      </c>
      <c r="G1220" s="1574"/>
      <c r="H1220" s="1574"/>
      <c r="I1220" s="1574"/>
      <c r="J1220" s="1412">
        <v>0</v>
      </c>
      <c r="K1220" s="1412">
        <v>24000</v>
      </c>
      <c r="L1220" s="1412">
        <v>0</v>
      </c>
      <c r="M1220" s="1575">
        <v>0</v>
      </c>
      <c r="N1220" s="1575"/>
      <c r="O1220" s="1575">
        <v>0</v>
      </c>
      <c r="P1220" s="1575"/>
      <c r="Q1220" s="1575">
        <v>24000</v>
      </c>
      <c r="R1220" s="1575"/>
      <c r="S1220" s="1575"/>
      <c r="T1220" s="1575"/>
      <c r="U1220" s="1575"/>
    </row>
    <row r="1221" spans="1:21" ht="19.149999999999999" customHeight="1">
      <c r="A1221" s="1574" t="s">
        <v>345</v>
      </c>
      <c r="B1221" s="1574"/>
      <c r="C1221" s="1574" t="s">
        <v>2395</v>
      </c>
      <c r="D1221" s="1574"/>
      <c r="E1221" s="1574"/>
      <c r="F1221" s="1574" t="s">
        <v>2396</v>
      </c>
      <c r="G1221" s="1574"/>
      <c r="H1221" s="1574"/>
      <c r="I1221" s="1574"/>
      <c r="J1221" s="1412">
        <v>0</v>
      </c>
      <c r="K1221" s="1412">
        <v>140365</v>
      </c>
      <c r="L1221" s="1412">
        <v>0</v>
      </c>
      <c r="M1221" s="1575">
        <v>0</v>
      </c>
      <c r="N1221" s="1575"/>
      <c r="O1221" s="1575">
        <v>0</v>
      </c>
      <c r="P1221" s="1575"/>
      <c r="Q1221" s="1575">
        <v>140365</v>
      </c>
      <c r="R1221" s="1575"/>
      <c r="S1221" s="1575"/>
      <c r="T1221" s="1575"/>
      <c r="U1221" s="1575"/>
    </row>
    <row r="1222" spans="1:21" ht="19.149999999999999" customHeight="1">
      <c r="A1222" s="1574" t="s">
        <v>345</v>
      </c>
      <c r="B1222" s="1574"/>
      <c r="C1222" s="1574" t="s">
        <v>2397</v>
      </c>
      <c r="D1222" s="1574"/>
      <c r="E1222" s="1574"/>
      <c r="F1222" s="1574" t="s">
        <v>2398</v>
      </c>
      <c r="G1222" s="1574"/>
      <c r="H1222" s="1574"/>
      <c r="I1222" s="1574"/>
      <c r="J1222" s="1412">
        <v>0</v>
      </c>
      <c r="K1222" s="1412">
        <v>2750</v>
      </c>
      <c r="L1222" s="1412">
        <v>0</v>
      </c>
      <c r="M1222" s="1575">
        <v>0</v>
      </c>
      <c r="N1222" s="1575"/>
      <c r="O1222" s="1575">
        <v>0</v>
      </c>
      <c r="P1222" s="1575"/>
      <c r="Q1222" s="1575">
        <v>2750</v>
      </c>
      <c r="R1222" s="1575"/>
      <c r="S1222" s="1575"/>
      <c r="T1222" s="1575"/>
      <c r="U1222" s="1575"/>
    </row>
    <row r="1223" spans="1:21" ht="19.149999999999999" customHeight="1">
      <c r="A1223" s="1574" t="s">
        <v>345</v>
      </c>
      <c r="B1223" s="1574"/>
      <c r="C1223" s="1574" t="s">
        <v>2399</v>
      </c>
      <c r="D1223" s="1574"/>
      <c r="E1223" s="1574"/>
      <c r="F1223" s="1574" t="s">
        <v>2400</v>
      </c>
      <c r="G1223" s="1574"/>
      <c r="H1223" s="1574"/>
      <c r="I1223" s="1574"/>
      <c r="J1223" s="1412">
        <v>0</v>
      </c>
      <c r="K1223" s="1412">
        <v>67219</v>
      </c>
      <c r="L1223" s="1412">
        <v>0</v>
      </c>
      <c r="M1223" s="1575">
        <v>0</v>
      </c>
      <c r="N1223" s="1575"/>
      <c r="O1223" s="1575">
        <v>0</v>
      </c>
      <c r="P1223" s="1575"/>
      <c r="Q1223" s="1575">
        <v>67219</v>
      </c>
      <c r="R1223" s="1575"/>
      <c r="S1223" s="1575"/>
      <c r="T1223" s="1575"/>
      <c r="U1223" s="1575"/>
    </row>
    <row r="1224" spans="1:21" ht="19.149999999999999" customHeight="1">
      <c r="A1224" s="1574" t="s">
        <v>345</v>
      </c>
      <c r="B1224" s="1574"/>
      <c r="C1224" s="1574" t="s">
        <v>2401</v>
      </c>
      <c r="D1224" s="1574"/>
      <c r="E1224" s="1574"/>
      <c r="F1224" s="1574" t="s">
        <v>2402</v>
      </c>
      <c r="G1224" s="1574"/>
      <c r="H1224" s="1574"/>
      <c r="I1224" s="1574"/>
      <c r="J1224" s="1412">
        <v>0</v>
      </c>
      <c r="K1224" s="1412">
        <v>61058</v>
      </c>
      <c r="L1224" s="1412">
        <v>0</v>
      </c>
      <c r="M1224" s="1575">
        <v>0</v>
      </c>
      <c r="N1224" s="1575"/>
      <c r="O1224" s="1575">
        <v>0</v>
      </c>
      <c r="P1224" s="1575"/>
      <c r="Q1224" s="1575">
        <v>61058</v>
      </c>
      <c r="R1224" s="1575"/>
      <c r="S1224" s="1575"/>
      <c r="T1224" s="1575"/>
      <c r="U1224" s="1575"/>
    </row>
    <row r="1225" spans="1:21" ht="19.149999999999999" customHeight="1">
      <c r="A1225" s="1574" t="s">
        <v>345</v>
      </c>
      <c r="B1225" s="1574"/>
      <c r="C1225" s="1574" t="s">
        <v>2403</v>
      </c>
      <c r="D1225" s="1574"/>
      <c r="E1225" s="1574"/>
      <c r="F1225" s="1574" t="s">
        <v>2404</v>
      </c>
      <c r="G1225" s="1574"/>
      <c r="H1225" s="1574"/>
      <c r="I1225" s="1574"/>
      <c r="J1225" s="1412">
        <v>0</v>
      </c>
      <c r="K1225" s="1412">
        <v>4000000</v>
      </c>
      <c r="L1225" s="1412">
        <v>0</v>
      </c>
      <c r="M1225" s="1575">
        <v>0</v>
      </c>
      <c r="N1225" s="1575"/>
      <c r="O1225" s="1575">
        <v>0</v>
      </c>
      <c r="P1225" s="1575"/>
      <c r="Q1225" s="1575">
        <v>4000000</v>
      </c>
      <c r="R1225" s="1575"/>
      <c r="S1225" s="1575"/>
      <c r="T1225" s="1575"/>
      <c r="U1225" s="1575"/>
    </row>
    <row r="1226" spans="1:21" ht="19.149999999999999" customHeight="1">
      <c r="A1226" s="1574" t="s">
        <v>345</v>
      </c>
      <c r="B1226" s="1574"/>
      <c r="C1226" s="1574" t="s">
        <v>2405</v>
      </c>
      <c r="D1226" s="1574"/>
      <c r="E1226" s="1574"/>
      <c r="F1226" s="1574" t="s">
        <v>2404</v>
      </c>
      <c r="G1226" s="1574"/>
      <c r="H1226" s="1574"/>
      <c r="I1226" s="1574"/>
      <c r="J1226" s="1412">
        <v>0</v>
      </c>
      <c r="K1226" s="1412">
        <v>1260000</v>
      </c>
      <c r="L1226" s="1412">
        <v>0</v>
      </c>
      <c r="M1226" s="1575">
        <v>0</v>
      </c>
      <c r="N1226" s="1575"/>
      <c r="O1226" s="1575">
        <v>0</v>
      </c>
      <c r="P1226" s="1575"/>
      <c r="Q1226" s="1575">
        <v>1260000</v>
      </c>
      <c r="R1226" s="1575"/>
      <c r="S1226" s="1575"/>
      <c r="T1226" s="1575"/>
      <c r="U1226" s="1575"/>
    </row>
    <row r="1227" spans="1:21" ht="19.149999999999999" customHeight="1">
      <c r="A1227" s="1574" t="s">
        <v>345</v>
      </c>
      <c r="B1227" s="1574"/>
      <c r="C1227" s="1574" t="s">
        <v>2406</v>
      </c>
      <c r="D1227" s="1574"/>
      <c r="E1227" s="1574"/>
      <c r="F1227" s="1574" t="s">
        <v>2404</v>
      </c>
      <c r="G1227" s="1574"/>
      <c r="H1227" s="1574"/>
      <c r="I1227" s="1574"/>
      <c r="J1227" s="1412">
        <v>0</v>
      </c>
      <c r="K1227" s="1412">
        <v>1020000</v>
      </c>
      <c r="L1227" s="1412">
        <v>0</v>
      </c>
      <c r="M1227" s="1575">
        <v>0</v>
      </c>
      <c r="N1227" s="1575"/>
      <c r="O1227" s="1575">
        <v>0</v>
      </c>
      <c r="P1227" s="1575"/>
      <c r="Q1227" s="1575">
        <v>1020000</v>
      </c>
      <c r="R1227" s="1575"/>
      <c r="S1227" s="1575"/>
      <c r="T1227" s="1575"/>
      <c r="U1227" s="1575"/>
    </row>
    <row r="1228" spans="1:21" ht="19.149999999999999" customHeight="1">
      <c r="A1228" s="1574" t="s">
        <v>345</v>
      </c>
      <c r="B1228" s="1574"/>
      <c r="C1228" s="1574" t="s">
        <v>2407</v>
      </c>
      <c r="D1228" s="1574"/>
      <c r="E1228" s="1574"/>
      <c r="F1228" s="1574" t="s">
        <v>2387</v>
      </c>
      <c r="G1228" s="1574"/>
      <c r="H1228" s="1574"/>
      <c r="I1228" s="1574"/>
      <c r="J1228" s="1412">
        <v>0</v>
      </c>
      <c r="K1228" s="1412">
        <v>3015520</v>
      </c>
      <c r="L1228" s="1412">
        <v>0</v>
      </c>
      <c r="M1228" s="1575">
        <v>0</v>
      </c>
      <c r="N1228" s="1575"/>
      <c r="O1228" s="1575">
        <v>0</v>
      </c>
      <c r="P1228" s="1575"/>
      <c r="Q1228" s="1575">
        <v>3015520</v>
      </c>
      <c r="R1228" s="1575"/>
      <c r="S1228" s="1575"/>
      <c r="T1228" s="1575"/>
      <c r="U1228" s="1575"/>
    </row>
    <row r="1229" spans="1:21" ht="19.149999999999999" customHeight="1">
      <c r="A1229" s="1574" t="s">
        <v>345</v>
      </c>
      <c r="B1229" s="1574"/>
      <c r="C1229" s="1574" t="s">
        <v>2408</v>
      </c>
      <c r="D1229" s="1574"/>
      <c r="E1229" s="1574"/>
      <c r="F1229" s="1574" t="s">
        <v>2390</v>
      </c>
      <c r="G1229" s="1574"/>
      <c r="H1229" s="1574"/>
      <c r="I1229" s="1574"/>
      <c r="J1229" s="1412">
        <v>0</v>
      </c>
      <c r="K1229" s="1412">
        <v>423848</v>
      </c>
      <c r="L1229" s="1412">
        <v>0</v>
      </c>
      <c r="M1229" s="1575">
        <v>0</v>
      </c>
      <c r="N1229" s="1575"/>
      <c r="O1229" s="1575">
        <v>0</v>
      </c>
      <c r="P1229" s="1575"/>
      <c r="Q1229" s="1575">
        <v>423848</v>
      </c>
      <c r="R1229" s="1575"/>
      <c r="S1229" s="1575"/>
      <c r="T1229" s="1575"/>
      <c r="U1229" s="1575"/>
    </row>
    <row r="1230" spans="1:21" ht="19.149999999999999" customHeight="1">
      <c r="A1230" s="1574" t="s">
        <v>345</v>
      </c>
      <c r="B1230" s="1574"/>
      <c r="C1230" s="1574" t="s">
        <v>2409</v>
      </c>
      <c r="D1230" s="1574"/>
      <c r="E1230" s="1574"/>
      <c r="F1230" s="1574" t="s">
        <v>2392</v>
      </c>
      <c r="G1230" s="1574"/>
      <c r="H1230" s="1574"/>
      <c r="I1230" s="1574"/>
      <c r="J1230" s="1412">
        <v>0</v>
      </c>
      <c r="K1230" s="1412">
        <v>41882</v>
      </c>
      <c r="L1230" s="1412">
        <v>0</v>
      </c>
      <c r="M1230" s="1575">
        <v>0</v>
      </c>
      <c r="N1230" s="1575"/>
      <c r="O1230" s="1575">
        <v>0</v>
      </c>
      <c r="P1230" s="1575"/>
      <c r="Q1230" s="1575">
        <v>41882</v>
      </c>
      <c r="R1230" s="1575"/>
      <c r="S1230" s="1575"/>
      <c r="T1230" s="1575"/>
      <c r="U1230" s="1575"/>
    </row>
    <row r="1231" spans="1:21" ht="19.149999999999999" customHeight="1">
      <c r="A1231" s="1574" t="s">
        <v>345</v>
      </c>
      <c r="B1231" s="1574"/>
      <c r="C1231" s="1574" t="s">
        <v>2410</v>
      </c>
      <c r="D1231" s="1574"/>
      <c r="E1231" s="1574"/>
      <c r="F1231" s="1574" t="s">
        <v>2394</v>
      </c>
      <c r="G1231" s="1574"/>
      <c r="H1231" s="1574"/>
      <c r="I1231" s="1574"/>
      <c r="J1231" s="1412">
        <v>0</v>
      </c>
      <c r="K1231" s="1412">
        <v>84000</v>
      </c>
      <c r="L1231" s="1412">
        <v>0</v>
      </c>
      <c r="M1231" s="1575">
        <v>0</v>
      </c>
      <c r="N1231" s="1575"/>
      <c r="O1231" s="1575">
        <v>0</v>
      </c>
      <c r="P1231" s="1575"/>
      <c r="Q1231" s="1575">
        <v>84000</v>
      </c>
      <c r="R1231" s="1575"/>
      <c r="S1231" s="1575"/>
      <c r="T1231" s="1575"/>
      <c r="U1231" s="1575"/>
    </row>
    <row r="1232" spans="1:21" ht="19.149999999999999" customHeight="1">
      <c r="A1232" s="1574" t="s">
        <v>345</v>
      </c>
      <c r="B1232" s="1574"/>
      <c r="C1232" s="1574" t="s">
        <v>2411</v>
      </c>
      <c r="D1232" s="1574"/>
      <c r="E1232" s="1574"/>
      <c r="F1232" s="1574" t="s">
        <v>2396</v>
      </c>
      <c r="G1232" s="1574"/>
      <c r="H1232" s="1574"/>
      <c r="I1232" s="1574"/>
      <c r="J1232" s="1412">
        <v>0</v>
      </c>
      <c r="K1232" s="1412">
        <v>512638</v>
      </c>
      <c r="L1232" s="1412">
        <v>0</v>
      </c>
      <c r="M1232" s="1575">
        <v>0</v>
      </c>
      <c r="N1232" s="1575"/>
      <c r="O1232" s="1575">
        <v>0</v>
      </c>
      <c r="P1232" s="1575"/>
      <c r="Q1232" s="1575">
        <v>512638</v>
      </c>
      <c r="R1232" s="1575"/>
      <c r="S1232" s="1575"/>
      <c r="T1232" s="1575"/>
      <c r="U1232" s="1575"/>
    </row>
    <row r="1233" spans="1:23" ht="19.149999999999999" customHeight="1">
      <c r="A1233" s="1574" t="s">
        <v>345</v>
      </c>
      <c r="B1233" s="1574"/>
      <c r="C1233" s="1574" t="s">
        <v>2412</v>
      </c>
      <c r="D1233" s="1574"/>
      <c r="E1233" s="1574"/>
      <c r="F1233" s="1574" t="s">
        <v>2398</v>
      </c>
      <c r="G1233" s="1574"/>
      <c r="H1233" s="1574"/>
      <c r="I1233" s="1574"/>
      <c r="J1233" s="1412">
        <v>0</v>
      </c>
      <c r="K1233" s="1412">
        <v>20380</v>
      </c>
      <c r="L1233" s="1412">
        <v>0</v>
      </c>
      <c r="M1233" s="1575">
        <v>0</v>
      </c>
      <c r="N1233" s="1575"/>
      <c r="O1233" s="1575">
        <v>0</v>
      </c>
      <c r="P1233" s="1575"/>
      <c r="Q1233" s="1575">
        <v>20380</v>
      </c>
      <c r="R1233" s="1575"/>
      <c r="S1233" s="1575"/>
      <c r="T1233" s="1575"/>
      <c r="U1233" s="1575"/>
    </row>
    <row r="1234" spans="1:23" ht="15.6" customHeight="1"/>
    <row r="1235" spans="1:23" ht="14.1" customHeight="1">
      <c r="S1235" s="1573" t="s">
        <v>2764</v>
      </c>
      <c r="T1235" s="1573"/>
      <c r="U1235" s="1573"/>
      <c r="V1235" s="1573"/>
      <c r="W1235" s="1573"/>
    </row>
    <row r="1236" spans="1:23" ht="7.15" customHeight="1">
      <c r="C1236" s="1586" t="s">
        <v>2987</v>
      </c>
      <c r="D1236" s="1586"/>
      <c r="E1236" s="1586"/>
      <c r="F1236" s="1586"/>
      <c r="G1236" s="1586"/>
      <c r="H1236" s="1586"/>
      <c r="I1236" s="1586"/>
      <c r="J1236" s="1586"/>
      <c r="K1236" s="1586"/>
      <c r="L1236" s="1586"/>
      <c r="M1236" s="1586"/>
      <c r="N1236" s="1586"/>
      <c r="O1236" s="1586"/>
      <c r="P1236" s="1586"/>
      <c r="Q1236" s="1586"/>
      <c r="R1236" s="1586"/>
      <c r="S1236" s="1586"/>
      <c r="T1236" s="1586"/>
    </row>
    <row r="1237" spans="1:23" ht="9.6" customHeight="1">
      <c r="A1237" s="1587"/>
      <c r="B1237" s="1587"/>
      <c r="C1237" s="1587"/>
      <c r="D1237" s="1587"/>
      <c r="E1237" s="1587"/>
      <c r="F1237" s="1587"/>
      <c r="G1237" s="1586"/>
      <c r="H1237" s="1586"/>
      <c r="I1237" s="1586"/>
      <c r="J1237" s="1586"/>
      <c r="K1237" s="1586"/>
      <c r="L1237" s="1586"/>
      <c r="M1237" s="1586"/>
      <c r="N1237" s="1586"/>
      <c r="O1237" s="1586"/>
      <c r="P1237" s="1586"/>
      <c r="Q1237" s="1586"/>
      <c r="R1237" s="1586"/>
      <c r="S1237" s="1586"/>
      <c r="T1237" s="1586"/>
    </row>
    <row r="1238" spans="1:23" ht="13.35" customHeight="1">
      <c r="A1238" s="1587"/>
      <c r="B1238" s="1587"/>
      <c r="C1238" s="1587"/>
      <c r="D1238" s="1587"/>
      <c r="E1238" s="1587"/>
      <c r="F1238" s="1587"/>
      <c r="G1238" s="1588" t="s">
        <v>79</v>
      </c>
      <c r="H1238" s="1588"/>
      <c r="I1238" s="1588"/>
      <c r="J1238" s="1588"/>
      <c r="K1238" s="1588"/>
      <c r="L1238" s="1588"/>
      <c r="M1238" s="1588"/>
      <c r="N1238" s="1588"/>
      <c r="O1238" s="1588"/>
      <c r="P1238" s="1588"/>
      <c r="Q1238" s="1588"/>
      <c r="R1238" s="1588"/>
    </row>
    <row r="1239" spans="1:23" ht="5.25" customHeight="1">
      <c r="A1239" s="1587"/>
      <c r="B1239" s="1587"/>
      <c r="C1239" s="1587"/>
      <c r="D1239" s="1587"/>
      <c r="E1239" s="1587"/>
      <c r="F1239" s="1587"/>
      <c r="G1239" s="1581" t="s">
        <v>7015</v>
      </c>
      <c r="H1239" s="1581"/>
      <c r="I1239" s="1581"/>
      <c r="J1239" s="1581"/>
      <c r="K1239" s="1581"/>
      <c r="L1239" s="1581"/>
      <c r="M1239" s="1581"/>
      <c r="N1239" s="1581"/>
      <c r="O1239" s="1581"/>
      <c r="P1239" s="1581"/>
      <c r="Q1239" s="1581"/>
    </row>
    <row r="1240" spans="1:23" ht="8.1" customHeight="1">
      <c r="B1240" s="1580" t="s">
        <v>1916</v>
      </c>
      <c r="C1240" s="1580"/>
      <c r="D1240" s="1580"/>
      <c r="E1240" s="1580"/>
      <c r="F1240" s="1580"/>
      <c r="G1240" s="1580"/>
      <c r="H1240" s="1581"/>
      <c r="I1240" s="1581"/>
      <c r="J1240" s="1581"/>
      <c r="K1240" s="1581"/>
      <c r="L1240" s="1581"/>
      <c r="M1240" s="1581"/>
      <c r="N1240" s="1582" t="s">
        <v>5619</v>
      </c>
      <c r="O1240" s="1582"/>
      <c r="P1240" s="1582"/>
      <c r="Q1240" s="1582"/>
      <c r="R1240" s="1582"/>
      <c r="S1240" s="1582"/>
      <c r="T1240" s="1583" t="s">
        <v>7016</v>
      </c>
      <c r="U1240" s="1583"/>
      <c r="V1240" s="1583"/>
      <c r="W1240" s="1583"/>
    </row>
    <row r="1241" spans="1:23" ht="6" customHeight="1">
      <c r="B1241" s="1580"/>
      <c r="C1241" s="1580"/>
      <c r="D1241" s="1580"/>
      <c r="E1241" s="1580"/>
      <c r="F1241" s="1580"/>
      <c r="G1241" s="1580"/>
      <c r="H1241" s="1584" t="s">
        <v>7017</v>
      </c>
      <c r="I1241" s="1584"/>
      <c r="J1241" s="1584"/>
      <c r="K1241" s="1584"/>
      <c r="L1241" s="1584"/>
      <c r="M1241" s="1584"/>
      <c r="N1241" s="1582"/>
      <c r="O1241" s="1582"/>
      <c r="P1241" s="1582"/>
      <c r="Q1241" s="1582"/>
      <c r="R1241" s="1582"/>
      <c r="S1241" s="1582"/>
      <c r="T1241" s="1583"/>
      <c r="U1241" s="1583"/>
      <c r="V1241" s="1583"/>
      <c r="W1241" s="1583"/>
    </row>
    <row r="1242" spans="1:23" ht="7.35" customHeight="1">
      <c r="B1242" s="1580" t="s">
        <v>1994</v>
      </c>
      <c r="C1242" s="1580"/>
      <c r="D1242" s="1580"/>
      <c r="E1242" s="1585"/>
      <c r="F1242" s="1585"/>
      <c r="G1242" s="1585"/>
      <c r="H1242" s="1585"/>
      <c r="I1242" s="1585"/>
      <c r="J1242" s="1585"/>
      <c r="K1242" s="1585"/>
      <c r="L1242" s="1585"/>
      <c r="M1242" s="1585"/>
      <c r="N1242" s="1585"/>
      <c r="O1242" s="1585"/>
      <c r="P1242" s="1585"/>
      <c r="Q1242" s="1585"/>
      <c r="R1242" s="1582"/>
      <c r="S1242" s="1582"/>
      <c r="T1242" s="1582" t="s">
        <v>7018</v>
      </c>
      <c r="U1242" s="1582"/>
    </row>
    <row r="1243" spans="1:23" ht="6.75" customHeight="1">
      <c r="E1243" s="1585"/>
      <c r="F1243" s="1585"/>
      <c r="G1243" s="1585"/>
      <c r="H1243" s="1585"/>
      <c r="I1243" s="1585"/>
      <c r="J1243" s="1585"/>
      <c r="K1243" s="1585"/>
      <c r="L1243" s="1585"/>
      <c r="M1243" s="1585"/>
      <c r="N1243" s="1585"/>
      <c r="O1243" s="1585"/>
      <c r="P1243" s="1585"/>
      <c r="Q1243" s="1585"/>
      <c r="R1243" s="1582"/>
      <c r="S1243" s="1582"/>
      <c r="T1243" s="1582"/>
      <c r="U1243" s="1582"/>
    </row>
    <row r="1244" spans="1:23" ht="10.9" customHeight="1">
      <c r="A1244" s="1576"/>
      <c r="B1244" s="1576"/>
      <c r="C1244" s="1576"/>
      <c r="D1244" s="1576"/>
      <c r="E1244" s="1576"/>
      <c r="F1244" s="1576"/>
      <c r="G1244" s="1576"/>
      <c r="H1244" s="1576"/>
      <c r="I1244" s="1576"/>
      <c r="J1244" s="1577" t="s">
        <v>1314</v>
      </c>
      <c r="K1244" s="1577"/>
      <c r="L1244" s="1577" t="s">
        <v>1315</v>
      </c>
      <c r="M1244" s="1577"/>
      <c r="N1244" s="1577"/>
      <c r="O1244" s="1577" t="s">
        <v>1316</v>
      </c>
      <c r="P1244" s="1577"/>
      <c r="Q1244" s="1577"/>
      <c r="R1244" s="1577"/>
      <c r="S1244" s="1577"/>
      <c r="T1244" s="1577"/>
      <c r="U1244" s="1577"/>
    </row>
    <row r="1245" spans="1:23" ht="14.1" customHeight="1">
      <c r="A1245" s="1578" t="s">
        <v>1317</v>
      </c>
      <c r="B1245" s="1578"/>
      <c r="C1245" s="1578" t="s">
        <v>1318</v>
      </c>
      <c r="D1245" s="1578"/>
      <c r="E1245" s="1578"/>
      <c r="F1245" s="1578" t="s">
        <v>1319</v>
      </c>
      <c r="G1245" s="1578"/>
      <c r="H1245" s="1578"/>
      <c r="I1245" s="1578"/>
      <c r="J1245" s="1413" t="s">
        <v>1320</v>
      </c>
      <c r="K1245" s="1413" t="s">
        <v>1321</v>
      </c>
      <c r="L1245" s="1413" t="s">
        <v>1320</v>
      </c>
      <c r="M1245" s="1579" t="s">
        <v>1321</v>
      </c>
      <c r="N1245" s="1579"/>
      <c r="O1245" s="1579" t="s">
        <v>1320</v>
      </c>
      <c r="P1245" s="1579"/>
      <c r="Q1245" s="1579" t="s">
        <v>1321</v>
      </c>
      <c r="R1245" s="1579"/>
      <c r="S1245" s="1579"/>
      <c r="T1245" s="1579"/>
      <c r="U1245" s="1579"/>
    </row>
    <row r="1246" spans="1:23" ht="22.5" customHeight="1">
      <c r="A1246" s="1574" t="s">
        <v>345</v>
      </c>
      <c r="B1246" s="1574"/>
      <c r="C1246" s="1574" t="s">
        <v>2413</v>
      </c>
      <c r="D1246" s="1574"/>
      <c r="E1246" s="1574"/>
      <c r="F1246" s="1574" t="s">
        <v>2400</v>
      </c>
      <c r="G1246" s="1574"/>
      <c r="H1246" s="1574"/>
      <c r="I1246" s="1574"/>
      <c r="J1246" s="1412">
        <v>0</v>
      </c>
      <c r="K1246" s="1412">
        <v>274794</v>
      </c>
      <c r="L1246" s="1412">
        <v>0</v>
      </c>
      <c r="M1246" s="1575">
        <v>0</v>
      </c>
      <c r="N1246" s="1575"/>
      <c r="O1246" s="1575">
        <v>0</v>
      </c>
      <c r="P1246" s="1575"/>
      <c r="Q1246" s="1575">
        <v>274794</v>
      </c>
      <c r="R1246" s="1575"/>
      <c r="S1246" s="1575"/>
      <c r="T1246" s="1575"/>
      <c r="U1246" s="1575"/>
    </row>
    <row r="1247" spans="1:23" ht="19.149999999999999" customHeight="1">
      <c r="A1247" s="1574" t="s">
        <v>345</v>
      </c>
      <c r="B1247" s="1574"/>
      <c r="C1247" s="1574" t="s">
        <v>2414</v>
      </c>
      <c r="D1247" s="1574"/>
      <c r="E1247" s="1574"/>
      <c r="F1247" s="1574" t="s">
        <v>2402</v>
      </c>
      <c r="G1247" s="1574"/>
      <c r="H1247" s="1574"/>
      <c r="I1247" s="1574"/>
      <c r="J1247" s="1412">
        <v>0</v>
      </c>
      <c r="K1247" s="1412">
        <v>218250</v>
      </c>
      <c r="L1247" s="1412">
        <v>0</v>
      </c>
      <c r="M1247" s="1575">
        <v>0</v>
      </c>
      <c r="N1247" s="1575"/>
      <c r="O1247" s="1575">
        <v>0</v>
      </c>
      <c r="P1247" s="1575"/>
      <c r="Q1247" s="1575">
        <v>218250</v>
      </c>
      <c r="R1247" s="1575"/>
      <c r="S1247" s="1575"/>
      <c r="T1247" s="1575"/>
      <c r="U1247" s="1575"/>
    </row>
    <row r="1248" spans="1:23" ht="19.149999999999999" customHeight="1">
      <c r="A1248" s="1574" t="s">
        <v>345</v>
      </c>
      <c r="B1248" s="1574"/>
      <c r="C1248" s="1574" t="s">
        <v>2415</v>
      </c>
      <c r="D1248" s="1574"/>
      <c r="E1248" s="1574"/>
      <c r="F1248" s="1574" t="s">
        <v>2416</v>
      </c>
      <c r="G1248" s="1574"/>
      <c r="H1248" s="1574"/>
      <c r="I1248" s="1574"/>
      <c r="J1248" s="1412">
        <v>0</v>
      </c>
      <c r="K1248" s="1412">
        <v>1063271</v>
      </c>
      <c r="L1248" s="1412">
        <v>0</v>
      </c>
      <c r="M1248" s="1575">
        <v>0</v>
      </c>
      <c r="N1248" s="1575"/>
      <c r="O1248" s="1575">
        <v>0</v>
      </c>
      <c r="P1248" s="1575"/>
      <c r="Q1248" s="1575">
        <v>1063271</v>
      </c>
      <c r="R1248" s="1575"/>
      <c r="S1248" s="1575"/>
      <c r="T1248" s="1575"/>
      <c r="U1248" s="1575"/>
    </row>
    <row r="1249" spans="1:21" ht="19.149999999999999" customHeight="1">
      <c r="A1249" s="1574" t="s">
        <v>345</v>
      </c>
      <c r="B1249" s="1574"/>
      <c r="C1249" s="1574" t="s">
        <v>2417</v>
      </c>
      <c r="D1249" s="1574"/>
      <c r="E1249" s="1574"/>
      <c r="F1249" s="1574" t="s">
        <v>2418</v>
      </c>
      <c r="G1249" s="1574"/>
      <c r="H1249" s="1574"/>
      <c r="I1249" s="1574"/>
      <c r="J1249" s="1412">
        <v>0</v>
      </c>
      <c r="K1249" s="1412">
        <v>6188832</v>
      </c>
      <c r="L1249" s="1412">
        <v>0</v>
      </c>
      <c r="M1249" s="1575">
        <v>0</v>
      </c>
      <c r="N1249" s="1575"/>
      <c r="O1249" s="1575">
        <v>0</v>
      </c>
      <c r="P1249" s="1575"/>
      <c r="Q1249" s="1575">
        <v>6188832</v>
      </c>
      <c r="R1249" s="1575"/>
      <c r="S1249" s="1575"/>
      <c r="T1249" s="1575"/>
      <c r="U1249" s="1575"/>
    </row>
    <row r="1250" spans="1:21" ht="19.149999999999999" customHeight="1">
      <c r="A1250" s="1574" t="s">
        <v>345</v>
      </c>
      <c r="B1250" s="1574"/>
      <c r="C1250" s="1574" t="s">
        <v>2420</v>
      </c>
      <c r="D1250" s="1574"/>
      <c r="E1250" s="1574"/>
      <c r="F1250" s="1574" t="s">
        <v>2421</v>
      </c>
      <c r="G1250" s="1574"/>
      <c r="H1250" s="1574"/>
      <c r="I1250" s="1574"/>
      <c r="J1250" s="1412">
        <v>0</v>
      </c>
      <c r="K1250" s="1412">
        <v>300000</v>
      </c>
      <c r="L1250" s="1412">
        <v>0</v>
      </c>
      <c r="M1250" s="1575">
        <v>0</v>
      </c>
      <c r="N1250" s="1575"/>
      <c r="O1250" s="1575">
        <v>0</v>
      </c>
      <c r="P1250" s="1575"/>
      <c r="Q1250" s="1575">
        <v>300000</v>
      </c>
      <c r="R1250" s="1575"/>
      <c r="S1250" s="1575"/>
      <c r="T1250" s="1575"/>
      <c r="U1250" s="1575"/>
    </row>
    <row r="1251" spans="1:21" ht="19.149999999999999" customHeight="1">
      <c r="A1251" s="1574" t="s">
        <v>345</v>
      </c>
      <c r="B1251" s="1574"/>
      <c r="C1251" s="1574" t="s">
        <v>2422</v>
      </c>
      <c r="D1251" s="1574"/>
      <c r="E1251" s="1574"/>
      <c r="F1251" s="1574" t="s">
        <v>2423</v>
      </c>
      <c r="G1251" s="1574"/>
      <c r="H1251" s="1574"/>
      <c r="I1251" s="1574"/>
      <c r="J1251" s="1412">
        <v>0</v>
      </c>
      <c r="K1251" s="1412">
        <v>4722318</v>
      </c>
      <c r="L1251" s="1412">
        <v>0</v>
      </c>
      <c r="M1251" s="1575">
        <v>0</v>
      </c>
      <c r="N1251" s="1575"/>
      <c r="O1251" s="1575">
        <v>0</v>
      </c>
      <c r="P1251" s="1575"/>
      <c r="Q1251" s="1575">
        <v>4722318</v>
      </c>
      <c r="R1251" s="1575"/>
      <c r="S1251" s="1575"/>
      <c r="T1251" s="1575"/>
      <c r="U1251" s="1575"/>
    </row>
    <row r="1252" spans="1:21" ht="19.149999999999999" customHeight="1">
      <c r="A1252" s="1574" t="s">
        <v>345</v>
      </c>
      <c r="B1252" s="1574"/>
      <c r="C1252" s="1574" t="s">
        <v>3276</v>
      </c>
      <c r="D1252" s="1574"/>
      <c r="E1252" s="1574"/>
      <c r="F1252" s="1574" t="s">
        <v>2416</v>
      </c>
      <c r="G1252" s="1574"/>
      <c r="H1252" s="1574"/>
      <c r="I1252" s="1574"/>
      <c r="J1252" s="1412">
        <v>0</v>
      </c>
      <c r="K1252" s="1412">
        <v>78474</v>
      </c>
      <c r="L1252" s="1412">
        <v>0</v>
      </c>
      <c r="M1252" s="1575">
        <v>0</v>
      </c>
      <c r="N1252" s="1575"/>
      <c r="O1252" s="1575">
        <v>0</v>
      </c>
      <c r="P1252" s="1575"/>
      <c r="Q1252" s="1575">
        <v>78474</v>
      </c>
      <c r="R1252" s="1575"/>
      <c r="S1252" s="1575"/>
      <c r="T1252" s="1575"/>
      <c r="U1252" s="1575"/>
    </row>
    <row r="1253" spans="1:21" ht="19.149999999999999" customHeight="1">
      <c r="A1253" s="1574" t="s">
        <v>345</v>
      </c>
      <c r="B1253" s="1574"/>
      <c r="C1253" s="1574" t="s">
        <v>2424</v>
      </c>
      <c r="D1253" s="1574"/>
      <c r="E1253" s="1574"/>
      <c r="F1253" s="1574" t="s">
        <v>2418</v>
      </c>
      <c r="G1253" s="1574"/>
      <c r="H1253" s="1574"/>
      <c r="I1253" s="1574"/>
      <c r="J1253" s="1412">
        <v>0</v>
      </c>
      <c r="K1253" s="1412">
        <v>1548518</v>
      </c>
      <c r="L1253" s="1412">
        <v>0</v>
      </c>
      <c r="M1253" s="1575">
        <v>0</v>
      </c>
      <c r="N1253" s="1575"/>
      <c r="O1253" s="1575">
        <v>0</v>
      </c>
      <c r="P1253" s="1575"/>
      <c r="Q1253" s="1575">
        <v>1548518</v>
      </c>
      <c r="R1253" s="1575"/>
      <c r="S1253" s="1575"/>
      <c r="T1253" s="1575"/>
      <c r="U1253" s="1575"/>
    </row>
    <row r="1254" spans="1:21" ht="19.149999999999999" customHeight="1">
      <c r="A1254" s="1574" t="s">
        <v>345</v>
      </c>
      <c r="B1254" s="1574"/>
      <c r="C1254" s="1574" t="s">
        <v>2425</v>
      </c>
      <c r="D1254" s="1574"/>
      <c r="E1254" s="1574"/>
      <c r="F1254" s="1574" t="s">
        <v>2423</v>
      </c>
      <c r="G1254" s="1574"/>
      <c r="H1254" s="1574"/>
      <c r="I1254" s="1574"/>
      <c r="J1254" s="1412">
        <v>0</v>
      </c>
      <c r="K1254" s="1412">
        <v>2215935</v>
      </c>
      <c r="L1254" s="1412">
        <v>0</v>
      </c>
      <c r="M1254" s="1575">
        <v>0</v>
      </c>
      <c r="N1254" s="1575"/>
      <c r="O1254" s="1575">
        <v>0</v>
      </c>
      <c r="P1254" s="1575"/>
      <c r="Q1254" s="1575">
        <v>2215935</v>
      </c>
      <c r="R1254" s="1575"/>
      <c r="S1254" s="1575"/>
      <c r="T1254" s="1575"/>
      <c r="U1254" s="1575"/>
    </row>
    <row r="1255" spans="1:21" ht="19.149999999999999" customHeight="1">
      <c r="A1255" s="1574" t="s">
        <v>345</v>
      </c>
      <c r="B1255" s="1574"/>
      <c r="C1255" s="1574" t="s">
        <v>3277</v>
      </c>
      <c r="D1255" s="1574"/>
      <c r="E1255" s="1574"/>
      <c r="F1255" s="1574" t="s">
        <v>2416</v>
      </c>
      <c r="G1255" s="1574"/>
      <c r="H1255" s="1574"/>
      <c r="I1255" s="1574"/>
      <c r="J1255" s="1412">
        <v>0</v>
      </c>
      <c r="K1255" s="1412">
        <v>102246</v>
      </c>
      <c r="L1255" s="1412">
        <v>0</v>
      </c>
      <c r="M1255" s="1575">
        <v>0</v>
      </c>
      <c r="N1255" s="1575"/>
      <c r="O1255" s="1575">
        <v>0</v>
      </c>
      <c r="P1255" s="1575"/>
      <c r="Q1255" s="1575">
        <v>102246</v>
      </c>
      <c r="R1255" s="1575"/>
      <c r="S1255" s="1575"/>
      <c r="T1255" s="1575"/>
      <c r="U1255" s="1575"/>
    </row>
    <row r="1256" spans="1:21" ht="19.149999999999999" customHeight="1">
      <c r="A1256" s="1574" t="s">
        <v>345</v>
      </c>
      <c r="B1256" s="1574"/>
      <c r="C1256" s="1574" t="s">
        <v>2426</v>
      </c>
      <c r="D1256" s="1574"/>
      <c r="E1256" s="1574"/>
      <c r="F1256" s="1574" t="s">
        <v>2418</v>
      </c>
      <c r="G1256" s="1574"/>
      <c r="H1256" s="1574"/>
      <c r="I1256" s="1574"/>
      <c r="J1256" s="1412">
        <v>0</v>
      </c>
      <c r="K1256" s="1412">
        <v>972000</v>
      </c>
      <c r="L1256" s="1412">
        <v>0</v>
      </c>
      <c r="M1256" s="1575">
        <v>0</v>
      </c>
      <c r="N1256" s="1575"/>
      <c r="O1256" s="1575">
        <v>0</v>
      </c>
      <c r="P1256" s="1575"/>
      <c r="Q1256" s="1575">
        <v>972000</v>
      </c>
      <c r="R1256" s="1575"/>
      <c r="S1256" s="1575"/>
      <c r="T1256" s="1575"/>
      <c r="U1256" s="1575"/>
    </row>
    <row r="1257" spans="1:21" ht="19.149999999999999" customHeight="1">
      <c r="A1257" s="1574" t="s">
        <v>345</v>
      </c>
      <c r="B1257" s="1574"/>
      <c r="C1257" s="1574" t="s">
        <v>2427</v>
      </c>
      <c r="D1257" s="1574"/>
      <c r="E1257" s="1574"/>
      <c r="F1257" s="1574" t="s">
        <v>2423</v>
      </c>
      <c r="G1257" s="1574"/>
      <c r="H1257" s="1574"/>
      <c r="I1257" s="1574"/>
      <c r="J1257" s="1412">
        <v>0</v>
      </c>
      <c r="K1257" s="1412">
        <v>1009967</v>
      </c>
      <c r="L1257" s="1412">
        <v>0</v>
      </c>
      <c r="M1257" s="1575">
        <v>0</v>
      </c>
      <c r="N1257" s="1575"/>
      <c r="O1257" s="1575">
        <v>0</v>
      </c>
      <c r="P1257" s="1575"/>
      <c r="Q1257" s="1575">
        <v>1009967</v>
      </c>
      <c r="R1257" s="1575"/>
      <c r="S1257" s="1575"/>
      <c r="T1257" s="1575"/>
      <c r="U1257" s="1575"/>
    </row>
    <row r="1258" spans="1:21" ht="19.149999999999999" customHeight="1">
      <c r="A1258" s="1574" t="s">
        <v>345</v>
      </c>
      <c r="B1258" s="1574"/>
      <c r="C1258" s="1574" t="s">
        <v>2428</v>
      </c>
      <c r="D1258" s="1574"/>
      <c r="E1258" s="1574"/>
      <c r="F1258" s="1574" t="s">
        <v>2423</v>
      </c>
      <c r="G1258" s="1574"/>
      <c r="H1258" s="1574"/>
      <c r="I1258" s="1574"/>
      <c r="J1258" s="1412">
        <v>0</v>
      </c>
      <c r="K1258" s="1412">
        <v>300000</v>
      </c>
      <c r="L1258" s="1412">
        <v>0</v>
      </c>
      <c r="M1258" s="1575">
        <v>0</v>
      </c>
      <c r="N1258" s="1575"/>
      <c r="O1258" s="1575">
        <v>0</v>
      </c>
      <c r="P1258" s="1575"/>
      <c r="Q1258" s="1575">
        <v>300000</v>
      </c>
      <c r="R1258" s="1575"/>
      <c r="S1258" s="1575"/>
      <c r="T1258" s="1575"/>
      <c r="U1258" s="1575"/>
    </row>
    <row r="1259" spans="1:21" ht="19.149999999999999" customHeight="1">
      <c r="A1259" s="1574" t="s">
        <v>345</v>
      </c>
      <c r="B1259" s="1574"/>
      <c r="C1259" s="1574" t="s">
        <v>3278</v>
      </c>
      <c r="D1259" s="1574"/>
      <c r="E1259" s="1574"/>
      <c r="F1259" s="1574" t="s">
        <v>2416</v>
      </c>
      <c r="G1259" s="1574"/>
      <c r="H1259" s="1574"/>
      <c r="I1259" s="1574"/>
      <c r="J1259" s="1412">
        <v>0</v>
      </c>
      <c r="K1259" s="1412">
        <v>57059</v>
      </c>
      <c r="L1259" s="1412">
        <v>0</v>
      </c>
      <c r="M1259" s="1575">
        <v>0</v>
      </c>
      <c r="N1259" s="1575"/>
      <c r="O1259" s="1575">
        <v>0</v>
      </c>
      <c r="P1259" s="1575"/>
      <c r="Q1259" s="1575">
        <v>57059</v>
      </c>
      <c r="R1259" s="1575"/>
      <c r="S1259" s="1575"/>
      <c r="T1259" s="1575"/>
      <c r="U1259" s="1575"/>
    </row>
    <row r="1260" spans="1:21" ht="19.149999999999999" customHeight="1">
      <c r="A1260" s="1574" t="s">
        <v>345</v>
      </c>
      <c r="B1260" s="1574"/>
      <c r="C1260" s="1574" t="s">
        <v>2429</v>
      </c>
      <c r="D1260" s="1574"/>
      <c r="E1260" s="1574"/>
      <c r="F1260" s="1574" t="s">
        <v>2418</v>
      </c>
      <c r="G1260" s="1574"/>
      <c r="H1260" s="1574"/>
      <c r="I1260" s="1574"/>
      <c r="J1260" s="1412">
        <v>0</v>
      </c>
      <c r="K1260" s="1412">
        <v>176400</v>
      </c>
      <c r="L1260" s="1412">
        <v>0</v>
      </c>
      <c r="M1260" s="1575">
        <v>0</v>
      </c>
      <c r="N1260" s="1575"/>
      <c r="O1260" s="1575">
        <v>0</v>
      </c>
      <c r="P1260" s="1575"/>
      <c r="Q1260" s="1575">
        <v>176400</v>
      </c>
      <c r="R1260" s="1575"/>
      <c r="S1260" s="1575"/>
      <c r="T1260" s="1575"/>
      <c r="U1260" s="1575"/>
    </row>
    <row r="1261" spans="1:21" ht="19.149999999999999" customHeight="1">
      <c r="A1261" s="1574" t="s">
        <v>345</v>
      </c>
      <c r="B1261" s="1574"/>
      <c r="C1261" s="1574" t="s">
        <v>2430</v>
      </c>
      <c r="D1261" s="1574"/>
      <c r="E1261" s="1574"/>
      <c r="F1261" s="1574" t="s">
        <v>2423</v>
      </c>
      <c r="G1261" s="1574"/>
      <c r="H1261" s="1574"/>
      <c r="I1261" s="1574"/>
      <c r="J1261" s="1412">
        <v>0</v>
      </c>
      <c r="K1261" s="1412">
        <v>1198557</v>
      </c>
      <c r="L1261" s="1412">
        <v>0</v>
      </c>
      <c r="M1261" s="1575">
        <v>0</v>
      </c>
      <c r="N1261" s="1575"/>
      <c r="O1261" s="1575">
        <v>0</v>
      </c>
      <c r="P1261" s="1575"/>
      <c r="Q1261" s="1575">
        <v>1198557</v>
      </c>
      <c r="R1261" s="1575"/>
      <c r="S1261" s="1575"/>
      <c r="T1261" s="1575"/>
      <c r="U1261" s="1575"/>
    </row>
    <row r="1262" spans="1:21" ht="19.149999999999999" customHeight="1">
      <c r="A1262" s="1574" t="s">
        <v>345</v>
      </c>
      <c r="B1262" s="1574"/>
      <c r="C1262" s="1574" t="s">
        <v>3279</v>
      </c>
      <c r="D1262" s="1574"/>
      <c r="E1262" s="1574"/>
      <c r="F1262" s="1574" t="s">
        <v>2416</v>
      </c>
      <c r="G1262" s="1574"/>
      <c r="H1262" s="1574"/>
      <c r="I1262" s="1574"/>
      <c r="J1262" s="1412">
        <v>0</v>
      </c>
      <c r="K1262" s="1412">
        <v>55860</v>
      </c>
      <c r="L1262" s="1412">
        <v>0</v>
      </c>
      <c r="M1262" s="1575">
        <v>0</v>
      </c>
      <c r="N1262" s="1575"/>
      <c r="O1262" s="1575">
        <v>0</v>
      </c>
      <c r="P1262" s="1575"/>
      <c r="Q1262" s="1575">
        <v>55860</v>
      </c>
      <c r="R1262" s="1575"/>
      <c r="S1262" s="1575"/>
      <c r="T1262" s="1575"/>
      <c r="U1262" s="1575"/>
    </row>
    <row r="1263" spans="1:21" ht="19.149999999999999" customHeight="1">
      <c r="A1263" s="1574" t="s">
        <v>345</v>
      </c>
      <c r="B1263" s="1574"/>
      <c r="C1263" s="1574" t="s">
        <v>2431</v>
      </c>
      <c r="D1263" s="1574"/>
      <c r="E1263" s="1574"/>
      <c r="F1263" s="1574" t="s">
        <v>2418</v>
      </c>
      <c r="G1263" s="1574"/>
      <c r="H1263" s="1574"/>
      <c r="I1263" s="1574"/>
      <c r="J1263" s="1412">
        <v>0</v>
      </c>
      <c r="K1263" s="1412">
        <v>571915</v>
      </c>
      <c r="L1263" s="1412">
        <v>0</v>
      </c>
      <c r="M1263" s="1575">
        <v>0</v>
      </c>
      <c r="N1263" s="1575"/>
      <c r="O1263" s="1575">
        <v>0</v>
      </c>
      <c r="P1263" s="1575"/>
      <c r="Q1263" s="1575">
        <v>571915</v>
      </c>
      <c r="R1263" s="1575"/>
      <c r="S1263" s="1575"/>
      <c r="T1263" s="1575"/>
      <c r="U1263" s="1575"/>
    </row>
    <row r="1264" spans="1:21" ht="19.149999999999999" customHeight="1">
      <c r="A1264" s="1574" t="s">
        <v>345</v>
      </c>
      <c r="B1264" s="1574"/>
      <c r="C1264" s="1574" t="s">
        <v>2432</v>
      </c>
      <c r="D1264" s="1574"/>
      <c r="E1264" s="1574"/>
      <c r="F1264" s="1574" t="s">
        <v>2423</v>
      </c>
      <c r="G1264" s="1574"/>
      <c r="H1264" s="1574"/>
      <c r="I1264" s="1574"/>
      <c r="J1264" s="1412">
        <v>0</v>
      </c>
      <c r="K1264" s="1412">
        <v>748328</v>
      </c>
      <c r="L1264" s="1412">
        <v>0</v>
      </c>
      <c r="M1264" s="1575">
        <v>0</v>
      </c>
      <c r="N1264" s="1575"/>
      <c r="O1264" s="1575">
        <v>0</v>
      </c>
      <c r="P1264" s="1575"/>
      <c r="Q1264" s="1575">
        <v>748328</v>
      </c>
      <c r="R1264" s="1575"/>
      <c r="S1264" s="1575"/>
      <c r="T1264" s="1575"/>
      <c r="U1264" s="1575"/>
    </row>
    <row r="1265" spans="1:23" ht="19.149999999999999" customHeight="1">
      <c r="A1265" s="1574" t="s">
        <v>345</v>
      </c>
      <c r="B1265" s="1574"/>
      <c r="C1265" s="1574" t="s">
        <v>2433</v>
      </c>
      <c r="D1265" s="1574"/>
      <c r="E1265" s="1574"/>
      <c r="F1265" s="1574" t="s">
        <v>2387</v>
      </c>
      <c r="G1265" s="1574"/>
      <c r="H1265" s="1574"/>
      <c r="I1265" s="1574"/>
      <c r="J1265" s="1412">
        <v>0</v>
      </c>
      <c r="K1265" s="1412">
        <v>747835</v>
      </c>
      <c r="L1265" s="1412">
        <v>0</v>
      </c>
      <c r="M1265" s="1575">
        <v>0</v>
      </c>
      <c r="N1265" s="1575"/>
      <c r="O1265" s="1575">
        <v>0</v>
      </c>
      <c r="P1265" s="1575"/>
      <c r="Q1265" s="1575">
        <v>747835</v>
      </c>
      <c r="R1265" s="1575"/>
      <c r="S1265" s="1575"/>
      <c r="T1265" s="1575"/>
      <c r="U1265" s="1575"/>
    </row>
    <row r="1266" spans="1:23" ht="19.149999999999999" customHeight="1">
      <c r="A1266" s="1574" t="s">
        <v>345</v>
      </c>
      <c r="B1266" s="1574"/>
      <c r="C1266" s="1574" t="s">
        <v>2434</v>
      </c>
      <c r="D1266" s="1574"/>
      <c r="E1266" s="1574"/>
      <c r="F1266" s="1574" t="s">
        <v>2390</v>
      </c>
      <c r="G1266" s="1574"/>
      <c r="H1266" s="1574"/>
      <c r="I1266" s="1574"/>
      <c r="J1266" s="1412">
        <v>0</v>
      </c>
      <c r="K1266" s="1412">
        <v>105112</v>
      </c>
      <c r="L1266" s="1412">
        <v>0</v>
      </c>
      <c r="M1266" s="1575">
        <v>0</v>
      </c>
      <c r="N1266" s="1575"/>
      <c r="O1266" s="1575">
        <v>0</v>
      </c>
      <c r="P1266" s="1575"/>
      <c r="Q1266" s="1575">
        <v>105112</v>
      </c>
      <c r="R1266" s="1575"/>
      <c r="S1266" s="1575"/>
      <c r="T1266" s="1575"/>
      <c r="U1266" s="1575"/>
    </row>
    <row r="1267" spans="1:23" ht="19.149999999999999" customHeight="1">
      <c r="A1267" s="1574" t="s">
        <v>345</v>
      </c>
      <c r="B1267" s="1574"/>
      <c r="C1267" s="1574" t="s">
        <v>2435</v>
      </c>
      <c r="D1267" s="1574"/>
      <c r="E1267" s="1574"/>
      <c r="F1267" s="1574" t="s">
        <v>2392</v>
      </c>
      <c r="G1267" s="1574"/>
      <c r="H1267" s="1574"/>
      <c r="I1267" s="1574"/>
      <c r="J1267" s="1412">
        <v>0</v>
      </c>
      <c r="K1267" s="1412">
        <v>10387</v>
      </c>
      <c r="L1267" s="1412">
        <v>0</v>
      </c>
      <c r="M1267" s="1575">
        <v>0</v>
      </c>
      <c r="N1267" s="1575"/>
      <c r="O1267" s="1575">
        <v>0</v>
      </c>
      <c r="P1267" s="1575"/>
      <c r="Q1267" s="1575">
        <v>10387</v>
      </c>
      <c r="R1267" s="1575"/>
      <c r="S1267" s="1575"/>
      <c r="T1267" s="1575"/>
      <c r="U1267" s="1575"/>
    </row>
    <row r="1268" spans="1:23" ht="19.149999999999999" customHeight="1">
      <c r="A1268" s="1574" t="s">
        <v>345</v>
      </c>
      <c r="B1268" s="1574"/>
      <c r="C1268" s="1574" t="s">
        <v>3280</v>
      </c>
      <c r="D1268" s="1574"/>
      <c r="E1268" s="1574"/>
      <c r="F1268" s="1574" t="s">
        <v>2455</v>
      </c>
      <c r="G1268" s="1574"/>
      <c r="H1268" s="1574"/>
      <c r="I1268" s="1574"/>
      <c r="J1268" s="1412">
        <v>0</v>
      </c>
      <c r="K1268" s="1412">
        <v>110382</v>
      </c>
      <c r="L1268" s="1412">
        <v>0</v>
      </c>
      <c r="M1268" s="1575">
        <v>0</v>
      </c>
      <c r="N1268" s="1575"/>
      <c r="O1268" s="1575">
        <v>0</v>
      </c>
      <c r="P1268" s="1575"/>
      <c r="Q1268" s="1575">
        <v>110382</v>
      </c>
      <c r="R1268" s="1575"/>
      <c r="S1268" s="1575"/>
      <c r="T1268" s="1575"/>
      <c r="U1268" s="1575"/>
    </row>
    <row r="1269" spans="1:23" ht="6.95" customHeight="1"/>
    <row r="1270" spans="1:23" ht="14.1" customHeight="1">
      <c r="S1270" s="1573" t="s">
        <v>2802</v>
      </c>
      <c r="T1270" s="1573"/>
      <c r="U1270" s="1573"/>
      <c r="V1270" s="1573"/>
      <c r="W1270" s="1573"/>
    </row>
    <row r="1271" spans="1:23" ht="7.15" customHeight="1">
      <c r="C1271" s="1586" t="s">
        <v>2987</v>
      </c>
      <c r="D1271" s="1586"/>
      <c r="E1271" s="1586"/>
      <c r="F1271" s="1586"/>
      <c r="G1271" s="1586"/>
      <c r="H1271" s="1586"/>
      <c r="I1271" s="1586"/>
      <c r="J1271" s="1586"/>
      <c r="K1271" s="1586"/>
      <c r="L1271" s="1586"/>
      <c r="M1271" s="1586"/>
      <c r="N1271" s="1586"/>
      <c r="O1271" s="1586"/>
      <c r="P1271" s="1586"/>
      <c r="Q1271" s="1586"/>
      <c r="R1271" s="1586"/>
      <c r="S1271" s="1586"/>
      <c r="T1271" s="1586"/>
    </row>
    <row r="1272" spans="1:23" ht="9.6" customHeight="1">
      <c r="A1272" s="1587"/>
      <c r="B1272" s="1587"/>
      <c r="C1272" s="1587"/>
      <c r="D1272" s="1587"/>
      <c r="E1272" s="1587"/>
      <c r="F1272" s="1587"/>
      <c r="G1272" s="1586"/>
      <c r="H1272" s="1586"/>
      <c r="I1272" s="1586"/>
      <c r="J1272" s="1586"/>
      <c r="K1272" s="1586"/>
      <c r="L1272" s="1586"/>
      <c r="M1272" s="1586"/>
      <c r="N1272" s="1586"/>
      <c r="O1272" s="1586"/>
      <c r="P1272" s="1586"/>
      <c r="Q1272" s="1586"/>
      <c r="R1272" s="1586"/>
      <c r="S1272" s="1586"/>
      <c r="T1272" s="1586"/>
    </row>
    <row r="1273" spans="1:23" ht="13.35" customHeight="1">
      <c r="A1273" s="1587"/>
      <c r="B1273" s="1587"/>
      <c r="C1273" s="1587"/>
      <c r="D1273" s="1587"/>
      <c r="E1273" s="1587"/>
      <c r="F1273" s="1587"/>
      <c r="G1273" s="1588" t="s">
        <v>79</v>
      </c>
      <c r="H1273" s="1588"/>
      <c r="I1273" s="1588"/>
      <c r="J1273" s="1588"/>
      <c r="K1273" s="1588"/>
      <c r="L1273" s="1588"/>
      <c r="M1273" s="1588"/>
      <c r="N1273" s="1588"/>
      <c r="O1273" s="1588"/>
      <c r="P1273" s="1588"/>
      <c r="Q1273" s="1588"/>
      <c r="R1273" s="1588"/>
    </row>
    <row r="1274" spans="1:23" ht="5.25" customHeight="1">
      <c r="A1274" s="1587"/>
      <c r="B1274" s="1587"/>
      <c r="C1274" s="1587"/>
      <c r="D1274" s="1587"/>
      <c r="E1274" s="1587"/>
      <c r="F1274" s="1587"/>
      <c r="G1274" s="1581" t="s">
        <v>7015</v>
      </c>
      <c r="H1274" s="1581"/>
      <c r="I1274" s="1581"/>
      <c r="J1274" s="1581"/>
      <c r="K1274" s="1581"/>
      <c r="L1274" s="1581"/>
      <c r="M1274" s="1581"/>
      <c r="N1274" s="1581"/>
      <c r="O1274" s="1581"/>
      <c r="P1274" s="1581"/>
      <c r="Q1274" s="1581"/>
    </row>
    <row r="1275" spans="1:23" ht="8.1" customHeight="1">
      <c r="B1275" s="1580" t="s">
        <v>1916</v>
      </c>
      <c r="C1275" s="1580"/>
      <c r="D1275" s="1580"/>
      <c r="E1275" s="1580"/>
      <c r="F1275" s="1580"/>
      <c r="G1275" s="1580"/>
      <c r="H1275" s="1581"/>
      <c r="I1275" s="1581"/>
      <c r="J1275" s="1581"/>
      <c r="K1275" s="1581"/>
      <c r="L1275" s="1581"/>
      <c r="M1275" s="1581"/>
      <c r="N1275" s="1582" t="s">
        <v>5619</v>
      </c>
      <c r="O1275" s="1582"/>
      <c r="P1275" s="1582"/>
      <c r="Q1275" s="1582"/>
      <c r="R1275" s="1582"/>
      <c r="S1275" s="1582"/>
      <c r="T1275" s="1583" t="s">
        <v>7016</v>
      </c>
      <c r="U1275" s="1583"/>
      <c r="V1275" s="1583"/>
      <c r="W1275" s="1583"/>
    </row>
    <row r="1276" spans="1:23" ht="6" customHeight="1">
      <c r="B1276" s="1580"/>
      <c r="C1276" s="1580"/>
      <c r="D1276" s="1580"/>
      <c r="E1276" s="1580"/>
      <c r="F1276" s="1580"/>
      <c r="G1276" s="1580"/>
      <c r="H1276" s="1584" t="s">
        <v>7017</v>
      </c>
      <c r="I1276" s="1584"/>
      <c r="J1276" s="1584"/>
      <c r="K1276" s="1584"/>
      <c r="L1276" s="1584"/>
      <c r="M1276" s="1584"/>
      <c r="N1276" s="1582"/>
      <c r="O1276" s="1582"/>
      <c r="P1276" s="1582"/>
      <c r="Q1276" s="1582"/>
      <c r="R1276" s="1582"/>
      <c r="S1276" s="1582"/>
      <c r="T1276" s="1583"/>
      <c r="U1276" s="1583"/>
      <c r="V1276" s="1583"/>
      <c r="W1276" s="1583"/>
    </row>
    <row r="1277" spans="1:23" ht="7.35" customHeight="1">
      <c r="B1277" s="1580" t="s">
        <v>1994</v>
      </c>
      <c r="C1277" s="1580"/>
      <c r="D1277" s="1580"/>
      <c r="E1277" s="1585"/>
      <c r="F1277" s="1585"/>
      <c r="G1277" s="1585"/>
      <c r="H1277" s="1585"/>
      <c r="I1277" s="1585"/>
      <c r="J1277" s="1585"/>
      <c r="K1277" s="1585"/>
      <c r="L1277" s="1585"/>
      <c r="M1277" s="1585"/>
      <c r="N1277" s="1585"/>
      <c r="O1277" s="1585"/>
      <c r="P1277" s="1585"/>
      <c r="Q1277" s="1585"/>
      <c r="R1277" s="1582"/>
      <c r="S1277" s="1582"/>
      <c r="T1277" s="1582" t="s">
        <v>7018</v>
      </c>
      <c r="U1277" s="1582"/>
    </row>
    <row r="1278" spans="1:23" ht="6.75" customHeight="1">
      <c r="E1278" s="1585"/>
      <c r="F1278" s="1585"/>
      <c r="G1278" s="1585"/>
      <c r="H1278" s="1585"/>
      <c r="I1278" s="1585"/>
      <c r="J1278" s="1585"/>
      <c r="K1278" s="1585"/>
      <c r="L1278" s="1585"/>
      <c r="M1278" s="1585"/>
      <c r="N1278" s="1585"/>
      <c r="O1278" s="1585"/>
      <c r="P1278" s="1585"/>
      <c r="Q1278" s="1585"/>
      <c r="R1278" s="1582"/>
      <c r="S1278" s="1582"/>
      <c r="T1278" s="1582"/>
      <c r="U1278" s="1582"/>
    </row>
    <row r="1279" spans="1:23" ht="10.9" customHeight="1">
      <c r="A1279" s="1576"/>
      <c r="B1279" s="1576"/>
      <c r="C1279" s="1576"/>
      <c r="D1279" s="1576"/>
      <c r="E1279" s="1576"/>
      <c r="F1279" s="1576"/>
      <c r="G1279" s="1576"/>
      <c r="H1279" s="1576"/>
      <c r="I1279" s="1576"/>
      <c r="J1279" s="1577" t="s">
        <v>1314</v>
      </c>
      <c r="K1279" s="1577"/>
      <c r="L1279" s="1577" t="s">
        <v>1315</v>
      </c>
      <c r="M1279" s="1577"/>
      <c r="N1279" s="1577"/>
      <c r="O1279" s="1577" t="s">
        <v>1316</v>
      </c>
      <c r="P1279" s="1577"/>
      <c r="Q1279" s="1577"/>
      <c r="R1279" s="1577"/>
      <c r="S1279" s="1577"/>
      <c r="T1279" s="1577"/>
      <c r="U1279" s="1577"/>
    </row>
    <row r="1280" spans="1:23" ht="14.1" customHeight="1">
      <c r="A1280" s="1578" t="s">
        <v>1317</v>
      </c>
      <c r="B1280" s="1578"/>
      <c r="C1280" s="1578" t="s">
        <v>1318</v>
      </c>
      <c r="D1280" s="1578"/>
      <c r="E1280" s="1578"/>
      <c r="F1280" s="1578" t="s">
        <v>1319</v>
      </c>
      <c r="G1280" s="1578"/>
      <c r="H1280" s="1578"/>
      <c r="I1280" s="1578"/>
      <c r="J1280" s="1413" t="s">
        <v>1320</v>
      </c>
      <c r="K1280" s="1413" t="s">
        <v>1321</v>
      </c>
      <c r="L1280" s="1413" t="s">
        <v>1320</v>
      </c>
      <c r="M1280" s="1579" t="s">
        <v>1321</v>
      </c>
      <c r="N1280" s="1579"/>
      <c r="O1280" s="1579" t="s">
        <v>1320</v>
      </c>
      <c r="P1280" s="1579"/>
      <c r="Q1280" s="1579" t="s">
        <v>1321</v>
      </c>
      <c r="R1280" s="1579"/>
      <c r="S1280" s="1579"/>
      <c r="T1280" s="1579"/>
      <c r="U1280" s="1579"/>
    </row>
    <row r="1281" spans="1:21" ht="22.5" customHeight="1">
      <c r="A1281" s="1574" t="s">
        <v>345</v>
      </c>
      <c r="B1281" s="1574"/>
      <c r="C1281" s="1574" t="s">
        <v>2436</v>
      </c>
      <c r="D1281" s="1574"/>
      <c r="E1281" s="1574"/>
      <c r="F1281" s="1574" t="s">
        <v>2394</v>
      </c>
      <c r="G1281" s="1574"/>
      <c r="H1281" s="1574"/>
      <c r="I1281" s="1574"/>
      <c r="J1281" s="1412">
        <v>0</v>
      </c>
      <c r="K1281" s="1412">
        <v>36000</v>
      </c>
      <c r="L1281" s="1412">
        <v>0</v>
      </c>
      <c r="M1281" s="1575">
        <v>0</v>
      </c>
      <c r="N1281" s="1575"/>
      <c r="O1281" s="1575">
        <v>0</v>
      </c>
      <c r="P1281" s="1575"/>
      <c r="Q1281" s="1575">
        <v>36000</v>
      </c>
      <c r="R1281" s="1575"/>
      <c r="S1281" s="1575"/>
      <c r="T1281" s="1575"/>
      <c r="U1281" s="1575"/>
    </row>
    <row r="1282" spans="1:21" ht="19.149999999999999" customHeight="1">
      <c r="A1282" s="1574" t="s">
        <v>345</v>
      </c>
      <c r="B1282" s="1574"/>
      <c r="C1282" s="1574" t="s">
        <v>2437</v>
      </c>
      <c r="D1282" s="1574"/>
      <c r="E1282" s="1574"/>
      <c r="F1282" s="1574" t="s">
        <v>2396</v>
      </c>
      <c r="G1282" s="1574"/>
      <c r="H1282" s="1574"/>
      <c r="I1282" s="1574"/>
      <c r="J1282" s="1412">
        <v>0</v>
      </c>
      <c r="K1282" s="1412">
        <v>127132</v>
      </c>
      <c r="L1282" s="1412">
        <v>0</v>
      </c>
      <c r="M1282" s="1575">
        <v>0</v>
      </c>
      <c r="N1282" s="1575"/>
      <c r="O1282" s="1575">
        <v>0</v>
      </c>
      <c r="P1282" s="1575"/>
      <c r="Q1282" s="1575">
        <v>127132</v>
      </c>
      <c r="R1282" s="1575"/>
      <c r="S1282" s="1575"/>
      <c r="T1282" s="1575"/>
      <c r="U1282" s="1575"/>
    </row>
    <row r="1283" spans="1:21" ht="19.149999999999999" customHeight="1">
      <c r="A1283" s="1574" t="s">
        <v>345</v>
      </c>
      <c r="B1283" s="1574"/>
      <c r="C1283" s="1574" t="s">
        <v>2438</v>
      </c>
      <c r="D1283" s="1574"/>
      <c r="E1283" s="1574"/>
      <c r="F1283" s="1574" t="s">
        <v>2398</v>
      </c>
      <c r="G1283" s="1574"/>
      <c r="H1283" s="1574"/>
      <c r="I1283" s="1574"/>
      <c r="J1283" s="1412">
        <v>0</v>
      </c>
      <c r="K1283" s="1412">
        <v>5610</v>
      </c>
      <c r="L1283" s="1412">
        <v>0</v>
      </c>
      <c r="M1283" s="1575">
        <v>0</v>
      </c>
      <c r="N1283" s="1575"/>
      <c r="O1283" s="1575">
        <v>0</v>
      </c>
      <c r="P1283" s="1575"/>
      <c r="Q1283" s="1575">
        <v>5610</v>
      </c>
      <c r="R1283" s="1575"/>
      <c r="S1283" s="1575"/>
      <c r="T1283" s="1575"/>
      <c r="U1283" s="1575"/>
    </row>
    <row r="1284" spans="1:21" ht="19.149999999999999" customHeight="1">
      <c r="A1284" s="1574" t="s">
        <v>345</v>
      </c>
      <c r="B1284" s="1574"/>
      <c r="C1284" s="1574" t="s">
        <v>2440</v>
      </c>
      <c r="D1284" s="1574"/>
      <c r="E1284" s="1574"/>
      <c r="F1284" s="1574" t="s">
        <v>2400</v>
      </c>
      <c r="G1284" s="1574"/>
      <c r="H1284" s="1574"/>
      <c r="I1284" s="1574"/>
      <c r="J1284" s="1412">
        <v>0</v>
      </c>
      <c r="K1284" s="1412">
        <v>84982</v>
      </c>
      <c r="L1284" s="1412">
        <v>0</v>
      </c>
      <c r="M1284" s="1575">
        <v>0</v>
      </c>
      <c r="N1284" s="1575"/>
      <c r="O1284" s="1575">
        <v>0</v>
      </c>
      <c r="P1284" s="1575"/>
      <c r="Q1284" s="1575">
        <v>84982</v>
      </c>
      <c r="R1284" s="1575"/>
      <c r="S1284" s="1575"/>
      <c r="T1284" s="1575"/>
      <c r="U1284" s="1575"/>
    </row>
    <row r="1285" spans="1:21" ht="19.149999999999999" customHeight="1">
      <c r="A1285" s="1574" t="s">
        <v>345</v>
      </c>
      <c r="B1285" s="1574"/>
      <c r="C1285" s="1574" t="s">
        <v>2441</v>
      </c>
      <c r="D1285" s="1574"/>
      <c r="E1285" s="1574"/>
      <c r="F1285" s="1574" t="s">
        <v>2402</v>
      </c>
      <c r="G1285" s="1574"/>
      <c r="H1285" s="1574"/>
      <c r="I1285" s="1574"/>
      <c r="J1285" s="1412">
        <v>0</v>
      </c>
      <c r="K1285" s="1412">
        <v>81587</v>
      </c>
      <c r="L1285" s="1412">
        <v>0</v>
      </c>
      <c r="M1285" s="1575">
        <v>0</v>
      </c>
      <c r="N1285" s="1575"/>
      <c r="O1285" s="1575">
        <v>0</v>
      </c>
      <c r="P1285" s="1575"/>
      <c r="Q1285" s="1575">
        <v>81587</v>
      </c>
      <c r="R1285" s="1575"/>
      <c r="S1285" s="1575"/>
      <c r="T1285" s="1575"/>
      <c r="U1285" s="1575"/>
    </row>
    <row r="1286" spans="1:21" ht="19.149999999999999" customHeight="1">
      <c r="A1286" s="1574" t="s">
        <v>345</v>
      </c>
      <c r="B1286" s="1574"/>
      <c r="C1286" s="1574" t="s">
        <v>2442</v>
      </c>
      <c r="D1286" s="1574"/>
      <c r="E1286" s="1574"/>
      <c r="F1286" s="1574" t="s">
        <v>2443</v>
      </c>
      <c r="G1286" s="1574"/>
      <c r="H1286" s="1574"/>
      <c r="I1286" s="1574"/>
      <c r="J1286" s="1412">
        <v>0</v>
      </c>
      <c r="K1286" s="1412">
        <v>52000000</v>
      </c>
      <c r="L1286" s="1412">
        <v>0</v>
      </c>
      <c r="M1286" s="1575">
        <v>0</v>
      </c>
      <c r="N1286" s="1575"/>
      <c r="O1286" s="1575">
        <v>0</v>
      </c>
      <c r="P1286" s="1575"/>
      <c r="Q1286" s="1575">
        <v>52000000</v>
      </c>
      <c r="R1286" s="1575"/>
      <c r="S1286" s="1575"/>
      <c r="T1286" s="1575"/>
      <c r="U1286" s="1575"/>
    </row>
    <row r="1287" spans="1:21" ht="19.149999999999999" customHeight="1">
      <c r="A1287" s="1574" t="s">
        <v>345</v>
      </c>
      <c r="B1287" s="1574"/>
      <c r="C1287" s="1574" t="s">
        <v>2444</v>
      </c>
      <c r="D1287" s="1574"/>
      <c r="E1287" s="1574"/>
      <c r="F1287" s="1574" t="s">
        <v>2445</v>
      </c>
      <c r="G1287" s="1574"/>
      <c r="H1287" s="1574"/>
      <c r="I1287" s="1574"/>
      <c r="J1287" s="1412">
        <v>0</v>
      </c>
      <c r="K1287" s="1412">
        <v>4000000</v>
      </c>
      <c r="L1287" s="1412">
        <v>0</v>
      </c>
      <c r="M1287" s="1575">
        <v>0</v>
      </c>
      <c r="N1287" s="1575"/>
      <c r="O1287" s="1575">
        <v>0</v>
      </c>
      <c r="P1287" s="1575"/>
      <c r="Q1287" s="1575">
        <v>4000000</v>
      </c>
      <c r="R1287" s="1575"/>
      <c r="S1287" s="1575"/>
      <c r="T1287" s="1575"/>
      <c r="U1287" s="1575"/>
    </row>
    <row r="1288" spans="1:21" ht="19.149999999999999" customHeight="1">
      <c r="A1288" s="1574" t="s">
        <v>345</v>
      </c>
      <c r="B1288" s="1574"/>
      <c r="C1288" s="1574" t="s">
        <v>2446</v>
      </c>
      <c r="D1288" s="1574"/>
      <c r="E1288" s="1574"/>
      <c r="F1288" s="1574" t="s">
        <v>2443</v>
      </c>
      <c r="G1288" s="1574"/>
      <c r="H1288" s="1574"/>
      <c r="I1288" s="1574"/>
      <c r="J1288" s="1412">
        <v>0</v>
      </c>
      <c r="K1288" s="1412">
        <v>5200000</v>
      </c>
      <c r="L1288" s="1412">
        <v>0</v>
      </c>
      <c r="M1288" s="1575">
        <v>0</v>
      </c>
      <c r="N1288" s="1575"/>
      <c r="O1288" s="1575">
        <v>0</v>
      </c>
      <c r="P1288" s="1575"/>
      <c r="Q1288" s="1575">
        <v>5200000</v>
      </c>
      <c r="R1288" s="1575"/>
      <c r="S1288" s="1575"/>
      <c r="T1288" s="1575"/>
      <c r="U1288" s="1575"/>
    </row>
    <row r="1289" spans="1:21" ht="19.149999999999999" customHeight="1">
      <c r="A1289" s="1574" t="s">
        <v>345</v>
      </c>
      <c r="B1289" s="1574"/>
      <c r="C1289" s="1574" t="s">
        <v>2447</v>
      </c>
      <c r="D1289" s="1574"/>
      <c r="E1289" s="1574"/>
      <c r="F1289" s="1574" t="s">
        <v>2445</v>
      </c>
      <c r="G1289" s="1574"/>
      <c r="H1289" s="1574"/>
      <c r="I1289" s="1574"/>
      <c r="J1289" s="1412">
        <v>0</v>
      </c>
      <c r="K1289" s="1412">
        <v>1600000</v>
      </c>
      <c r="L1289" s="1412">
        <v>0</v>
      </c>
      <c r="M1289" s="1575">
        <v>0</v>
      </c>
      <c r="N1289" s="1575"/>
      <c r="O1289" s="1575">
        <v>0</v>
      </c>
      <c r="P1289" s="1575"/>
      <c r="Q1289" s="1575">
        <v>1600000</v>
      </c>
      <c r="R1289" s="1575"/>
      <c r="S1289" s="1575"/>
      <c r="T1289" s="1575"/>
      <c r="U1289" s="1575"/>
    </row>
    <row r="1290" spans="1:21" ht="19.149999999999999" customHeight="1">
      <c r="A1290" s="1574" t="s">
        <v>345</v>
      </c>
      <c r="B1290" s="1574"/>
      <c r="C1290" s="1574" t="s">
        <v>2448</v>
      </c>
      <c r="D1290" s="1574"/>
      <c r="E1290" s="1574"/>
      <c r="F1290" s="1574" t="s">
        <v>2443</v>
      </c>
      <c r="G1290" s="1574"/>
      <c r="H1290" s="1574"/>
      <c r="I1290" s="1574"/>
      <c r="J1290" s="1412">
        <v>0</v>
      </c>
      <c r="K1290" s="1412">
        <v>1600000</v>
      </c>
      <c r="L1290" s="1412">
        <v>0</v>
      </c>
      <c r="M1290" s="1575">
        <v>0</v>
      </c>
      <c r="N1290" s="1575"/>
      <c r="O1290" s="1575">
        <v>0</v>
      </c>
      <c r="P1290" s="1575"/>
      <c r="Q1290" s="1575">
        <v>1600000</v>
      </c>
      <c r="R1290" s="1575"/>
      <c r="S1290" s="1575"/>
      <c r="T1290" s="1575"/>
      <c r="U1290" s="1575"/>
    </row>
    <row r="1291" spans="1:21" ht="19.149999999999999" customHeight="1">
      <c r="A1291" s="1574" t="s">
        <v>345</v>
      </c>
      <c r="B1291" s="1574"/>
      <c r="C1291" s="1574" t="s">
        <v>2449</v>
      </c>
      <c r="D1291" s="1574"/>
      <c r="E1291" s="1574"/>
      <c r="F1291" s="1574" t="s">
        <v>2445</v>
      </c>
      <c r="G1291" s="1574"/>
      <c r="H1291" s="1574"/>
      <c r="I1291" s="1574"/>
      <c r="J1291" s="1412">
        <v>0</v>
      </c>
      <c r="K1291" s="1412">
        <v>1600000</v>
      </c>
      <c r="L1291" s="1412">
        <v>0</v>
      </c>
      <c r="M1291" s="1575">
        <v>0</v>
      </c>
      <c r="N1291" s="1575"/>
      <c r="O1291" s="1575">
        <v>0</v>
      </c>
      <c r="P1291" s="1575"/>
      <c r="Q1291" s="1575">
        <v>1600000</v>
      </c>
      <c r="R1291" s="1575"/>
      <c r="S1291" s="1575"/>
      <c r="T1291" s="1575"/>
      <c r="U1291" s="1575"/>
    </row>
    <row r="1292" spans="1:21" ht="19.149999999999999" customHeight="1">
      <c r="A1292" s="1574" t="s">
        <v>345</v>
      </c>
      <c r="B1292" s="1574"/>
      <c r="C1292" s="1574" t="s">
        <v>2450</v>
      </c>
      <c r="D1292" s="1574"/>
      <c r="E1292" s="1574"/>
      <c r="F1292" s="1574" t="s">
        <v>2443</v>
      </c>
      <c r="G1292" s="1574"/>
      <c r="H1292" s="1574"/>
      <c r="I1292" s="1574"/>
      <c r="J1292" s="1412">
        <v>0</v>
      </c>
      <c r="K1292" s="1412">
        <v>1200000</v>
      </c>
      <c r="L1292" s="1412">
        <v>0</v>
      </c>
      <c r="M1292" s="1575">
        <v>0</v>
      </c>
      <c r="N1292" s="1575"/>
      <c r="O1292" s="1575">
        <v>0</v>
      </c>
      <c r="P1292" s="1575"/>
      <c r="Q1292" s="1575">
        <v>1200000</v>
      </c>
      <c r="R1292" s="1575"/>
      <c r="S1292" s="1575"/>
      <c r="T1292" s="1575"/>
      <c r="U1292" s="1575"/>
    </row>
    <row r="1293" spans="1:21" ht="19.149999999999999" customHeight="1">
      <c r="A1293" s="1574" t="s">
        <v>345</v>
      </c>
      <c r="B1293" s="1574"/>
      <c r="C1293" s="1574" t="s">
        <v>2451</v>
      </c>
      <c r="D1293" s="1574"/>
      <c r="E1293" s="1574"/>
      <c r="F1293" s="1574" t="s">
        <v>2445</v>
      </c>
      <c r="G1293" s="1574"/>
      <c r="H1293" s="1574"/>
      <c r="I1293" s="1574"/>
      <c r="J1293" s="1412">
        <v>0</v>
      </c>
      <c r="K1293" s="1412">
        <v>800000</v>
      </c>
      <c r="L1293" s="1412">
        <v>0</v>
      </c>
      <c r="M1293" s="1575">
        <v>0</v>
      </c>
      <c r="N1293" s="1575"/>
      <c r="O1293" s="1575">
        <v>0</v>
      </c>
      <c r="P1293" s="1575"/>
      <c r="Q1293" s="1575">
        <v>800000</v>
      </c>
      <c r="R1293" s="1575"/>
      <c r="S1293" s="1575"/>
      <c r="T1293" s="1575"/>
      <c r="U1293" s="1575"/>
    </row>
    <row r="1294" spans="1:21" ht="19.149999999999999" customHeight="1">
      <c r="A1294" s="1574" t="s">
        <v>345</v>
      </c>
      <c r="B1294" s="1574"/>
      <c r="C1294" s="1574" t="s">
        <v>2452</v>
      </c>
      <c r="D1294" s="1574"/>
      <c r="E1294" s="1574"/>
      <c r="F1294" s="1574" t="s">
        <v>2387</v>
      </c>
      <c r="G1294" s="1574"/>
      <c r="H1294" s="1574"/>
      <c r="I1294" s="1574"/>
      <c r="J1294" s="1412">
        <v>0</v>
      </c>
      <c r="K1294" s="1412">
        <v>4892958</v>
      </c>
      <c r="L1294" s="1412">
        <v>0</v>
      </c>
      <c r="M1294" s="1575">
        <v>0</v>
      </c>
      <c r="N1294" s="1575"/>
      <c r="O1294" s="1575">
        <v>0</v>
      </c>
      <c r="P1294" s="1575"/>
      <c r="Q1294" s="1575">
        <v>4892958</v>
      </c>
      <c r="R1294" s="1575"/>
      <c r="S1294" s="1575"/>
      <c r="T1294" s="1575"/>
      <c r="U1294" s="1575"/>
    </row>
    <row r="1295" spans="1:21" ht="19.149999999999999" customHeight="1">
      <c r="A1295" s="1574" t="s">
        <v>345</v>
      </c>
      <c r="B1295" s="1574"/>
      <c r="C1295" s="1574" t="s">
        <v>2453</v>
      </c>
      <c r="D1295" s="1574"/>
      <c r="E1295" s="1574"/>
      <c r="F1295" s="1574" t="s">
        <v>2390</v>
      </c>
      <c r="G1295" s="1574"/>
      <c r="H1295" s="1574"/>
      <c r="I1295" s="1574"/>
      <c r="J1295" s="1412">
        <v>0</v>
      </c>
      <c r="K1295" s="1412">
        <v>687732</v>
      </c>
      <c r="L1295" s="1412">
        <v>0</v>
      </c>
      <c r="M1295" s="1575">
        <v>0</v>
      </c>
      <c r="N1295" s="1575"/>
      <c r="O1295" s="1575">
        <v>0</v>
      </c>
      <c r="P1295" s="1575"/>
      <c r="Q1295" s="1575">
        <v>687732</v>
      </c>
      <c r="R1295" s="1575"/>
      <c r="S1295" s="1575"/>
      <c r="T1295" s="1575"/>
      <c r="U1295" s="1575"/>
    </row>
    <row r="1296" spans="1:21" ht="19.149999999999999" customHeight="1">
      <c r="A1296" s="1574" t="s">
        <v>345</v>
      </c>
      <c r="B1296" s="1574"/>
      <c r="C1296" s="1574" t="s">
        <v>2454</v>
      </c>
      <c r="D1296" s="1574"/>
      <c r="E1296" s="1574"/>
      <c r="F1296" s="1574" t="s">
        <v>2392</v>
      </c>
      <c r="G1296" s="1574"/>
      <c r="H1296" s="1574"/>
      <c r="I1296" s="1574"/>
      <c r="J1296" s="1412">
        <v>0</v>
      </c>
      <c r="K1296" s="1412">
        <v>67958</v>
      </c>
      <c r="L1296" s="1412">
        <v>0</v>
      </c>
      <c r="M1296" s="1575">
        <v>0</v>
      </c>
      <c r="N1296" s="1575"/>
      <c r="O1296" s="1575">
        <v>0</v>
      </c>
      <c r="P1296" s="1575"/>
      <c r="Q1296" s="1575">
        <v>67958</v>
      </c>
      <c r="R1296" s="1575"/>
      <c r="S1296" s="1575"/>
      <c r="T1296" s="1575"/>
      <c r="U1296" s="1575"/>
    </row>
    <row r="1297" spans="1:23" ht="19.149999999999999" customHeight="1">
      <c r="A1297" s="1574" t="s">
        <v>345</v>
      </c>
      <c r="B1297" s="1574"/>
      <c r="C1297" s="1574" t="s">
        <v>2456</v>
      </c>
      <c r="D1297" s="1574"/>
      <c r="E1297" s="1574"/>
      <c r="F1297" s="1574" t="s">
        <v>2394</v>
      </c>
      <c r="G1297" s="1574"/>
      <c r="H1297" s="1574"/>
      <c r="I1297" s="1574"/>
      <c r="J1297" s="1412">
        <v>0</v>
      </c>
      <c r="K1297" s="1412">
        <v>96000</v>
      </c>
      <c r="L1297" s="1412">
        <v>0</v>
      </c>
      <c r="M1297" s="1575">
        <v>0</v>
      </c>
      <c r="N1297" s="1575"/>
      <c r="O1297" s="1575">
        <v>0</v>
      </c>
      <c r="P1297" s="1575"/>
      <c r="Q1297" s="1575">
        <v>96000</v>
      </c>
      <c r="R1297" s="1575"/>
      <c r="S1297" s="1575"/>
      <c r="T1297" s="1575"/>
      <c r="U1297" s="1575"/>
    </row>
    <row r="1298" spans="1:23" ht="19.149999999999999" customHeight="1">
      <c r="A1298" s="1574" t="s">
        <v>345</v>
      </c>
      <c r="B1298" s="1574"/>
      <c r="C1298" s="1574" t="s">
        <v>2457</v>
      </c>
      <c r="D1298" s="1574"/>
      <c r="E1298" s="1574"/>
      <c r="F1298" s="1574" t="s">
        <v>2396</v>
      </c>
      <c r="G1298" s="1574"/>
      <c r="H1298" s="1574"/>
      <c r="I1298" s="1574"/>
      <c r="J1298" s="1412">
        <v>0</v>
      </c>
      <c r="K1298" s="1412">
        <v>831803</v>
      </c>
      <c r="L1298" s="1412">
        <v>0</v>
      </c>
      <c r="M1298" s="1575">
        <v>0</v>
      </c>
      <c r="N1298" s="1575"/>
      <c r="O1298" s="1575">
        <v>0</v>
      </c>
      <c r="P1298" s="1575"/>
      <c r="Q1298" s="1575">
        <v>831803</v>
      </c>
      <c r="R1298" s="1575"/>
      <c r="S1298" s="1575"/>
      <c r="T1298" s="1575"/>
      <c r="U1298" s="1575"/>
    </row>
    <row r="1299" spans="1:23" ht="19.149999999999999" customHeight="1">
      <c r="A1299" s="1574" t="s">
        <v>345</v>
      </c>
      <c r="B1299" s="1574"/>
      <c r="C1299" s="1574" t="s">
        <v>2458</v>
      </c>
      <c r="D1299" s="1574"/>
      <c r="E1299" s="1574"/>
      <c r="F1299" s="1574" t="s">
        <v>2398</v>
      </c>
      <c r="G1299" s="1574"/>
      <c r="H1299" s="1574"/>
      <c r="I1299" s="1574"/>
      <c r="J1299" s="1412">
        <v>0</v>
      </c>
      <c r="K1299" s="1412">
        <v>19610</v>
      </c>
      <c r="L1299" s="1412">
        <v>0</v>
      </c>
      <c r="M1299" s="1575">
        <v>0</v>
      </c>
      <c r="N1299" s="1575"/>
      <c r="O1299" s="1575">
        <v>0</v>
      </c>
      <c r="P1299" s="1575"/>
      <c r="Q1299" s="1575">
        <v>19610</v>
      </c>
      <c r="R1299" s="1575"/>
      <c r="S1299" s="1575"/>
      <c r="T1299" s="1575"/>
      <c r="U1299" s="1575"/>
    </row>
    <row r="1300" spans="1:23" ht="19.149999999999999" customHeight="1">
      <c r="A1300" s="1574" t="s">
        <v>345</v>
      </c>
      <c r="B1300" s="1574"/>
      <c r="C1300" s="1574" t="s">
        <v>2459</v>
      </c>
      <c r="D1300" s="1574"/>
      <c r="E1300" s="1574"/>
      <c r="F1300" s="1574" t="s">
        <v>2400</v>
      </c>
      <c r="G1300" s="1574"/>
      <c r="H1300" s="1574"/>
      <c r="I1300" s="1574"/>
      <c r="J1300" s="1412">
        <v>0</v>
      </c>
      <c r="K1300" s="1412">
        <v>342576</v>
      </c>
      <c r="L1300" s="1412">
        <v>0</v>
      </c>
      <c r="M1300" s="1575">
        <v>0</v>
      </c>
      <c r="N1300" s="1575"/>
      <c r="O1300" s="1575">
        <v>0</v>
      </c>
      <c r="P1300" s="1575"/>
      <c r="Q1300" s="1575">
        <v>342576</v>
      </c>
      <c r="R1300" s="1575"/>
      <c r="S1300" s="1575"/>
      <c r="T1300" s="1575"/>
      <c r="U1300" s="1575"/>
    </row>
    <row r="1301" spans="1:23" ht="19.149999999999999" customHeight="1">
      <c r="A1301" s="1574" t="s">
        <v>345</v>
      </c>
      <c r="B1301" s="1574"/>
      <c r="C1301" s="1574" t="s">
        <v>2460</v>
      </c>
      <c r="D1301" s="1574"/>
      <c r="E1301" s="1574"/>
      <c r="F1301" s="1574" t="s">
        <v>2402</v>
      </c>
      <c r="G1301" s="1574"/>
      <c r="H1301" s="1574"/>
      <c r="I1301" s="1574"/>
      <c r="J1301" s="1412">
        <v>0</v>
      </c>
      <c r="K1301" s="1412">
        <v>263520</v>
      </c>
      <c r="L1301" s="1412">
        <v>0</v>
      </c>
      <c r="M1301" s="1575">
        <v>0</v>
      </c>
      <c r="N1301" s="1575"/>
      <c r="O1301" s="1575">
        <v>0</v>
      </c>
      <c r="P1301" s="1575"/>
      <c r="Q1301" s="1575">
        <v>263520</v>
      </c>
      <c r="R1301" s="1575"/>
      <c r="S1301" s="1575"/>
      <c r="T1301" s="1575"/>
      <c r="U1301" s="1575"/>
    </row>
    <row r="1302" spans="1:23" ht="19.149999999999999" customHeight="1">
      <c r="A1302" s="1574" t="s">
        <v>345</v>
      </c>
      <c r="B1302" s="1574"/>
      <c r="C1302" s="1574" t="s">
        <v>2461</v>
      </c>
      <c r="D1302" s="1574"/>
      <c r="E1302" s="1574"/>
      <c r="F1302" s="1574" t="s">
        <v>2462</v>
      </c>
      <c r="G1302" s="1574"/>
      <c r="H1302" s="1574"/>
      <c r="I1302" s="1574"/>
      <c r="J1302" s="1412">
        <v>0</v>
      </c>
      <c r="K1302" s="1412">
        <v>184100</v>
      </c>
      <c r="L1302" s="1412">
        <v>0</v>
      </c>
      <c r="M1302" s="1575">
        <v>0</v>
      </c>
      <c r="N1302" s="1575"/>
      <c r="O1302" s="1575">
        <v>0</v>
      </c>
      <c r="P1302" s="1575"/>
      <c r="Q1302" s="1575">
        <v>184100</v>
      </c>
      <c r="R1302" s="1575"/>
      <c r="S1302" s="1575"/>
      <c r="T1302" s="1575"/>
      <c r="U1302" s="1575"/>
    </row>
    <row r="1303" spans="1:23" ht="19.149999999999999" customHeight="1">
      <c r="A1303" s="1574" t="s">
        <v>345</v>
      </c>
      <c r="B1303" s="1574"/>
      <c r="C1303" s="1574" t="s">
        <v>2463</v>
      </c>
      <c r="D1303" s="1574"/>
      <c r="E1303" s="1574"/>
      <c r="F1303" s="1574" t="s">
        <v>2464</v>
      </c>
      <c r="G1303" s="1574"/>
      <c r="H1303" s="1574"/>
      <c r="I1303" s="1574"/>
      <c r="J1303" s="1412">
        <v>0</v>
      </c>
      <c r="K1303" s="1412">
        <v>280000</v>
      </c>
      <c r="L1303" s="1412">
        <v>0</v>
      </c>
      <c r="M1303" s="1575">
        <v>0</v>
      </c>
      <c r="N1303" s="1575"/>
      <c r="O1303" s="1575">
        <v>0</v>
      </c>
      <c r="P1303" s="1575"/>
      <c r="Q1303" s="1575">
        <v>280000</v>
      </c>
      <c r="R1303" s="1575"/>
      <c r="S1303" s="1575"/>
      <c r="T1303" s="1575"/>
      <c r="U1303" s="1575"/>
    </row>
    <row r="1304" spans="1:23" ht="6.95" customHeight="1"/>
    <row r="1305" spans="1:23" ht="14.1" customHeight="1">
      <c r="S1305" s="1573" t="s">
        <v>2824</v>
      </c>
      <c r="T1305" s="1573"/>
      <c r="U1305" s="1573"/>
      <c r="V1305" s="1573"/>
      <c r="W1305" s="1573"/>
    </row>
    <row r="1306" spans="1:23" ht="7.15" customHeight="1">
      <c r="C1306" s="1586" t="s">
        <v>2987</v>
      </c>
      <c r="D1306" s="1586"/>
      <c r="E1306" s="1586"/>
      <c r="F1306" s="1586"/>
      <c r="G1306" s="1586"/>
      <c r="H1306" s="1586"/>
      <c r="I1306" s="1586"/>
      <c r="J1306" s="1586"/>
      <c r="K1306" s="1586"/>
      <c r="L1306" s="1586"/>
      <c r="M1306" s="1586"/>
      <c r="N1306" s="1586"/>
      <c r="O1306" s="1586"/>
      <c r="P1306" s="1586"/>
      <c r="Q1306" s="1586"/>
      <c r="R1306" s="1586"/>
      <c r="S1306" s="1586"/>
      <c r="T1306" s="1586"/>
    </row>
    <row r="1307" spans="1:23" ht="9.6" customHeight="1">
      <c r="A1307" s="1587"/>
      <c r="B1307" s="1587"/>
      <c r="C1307" s="1587"/>
      <c r="D1307" s="1587"/>
      <c r="E1307" s="1587"/>
      <c r="F1307" s="1587"/>
      <c r="G1307" s="1586"/>
      <c r="H1307" s="1586"/>
      <c r="I1307" s="1586"/>
      <c r="J1307" s="1586"/>
      <c r="K1307" s="1586"/>
      <c r="L1307" s="1586"/>
      <c r="M1307" s="1586"/>
      <c r="N1307" s="1586"/>
      <c r="O1307" s="1586"/>
      <c r="P1307" s="1586"/>
      <c r="Q1307" s="1586"/>
      <c r="R1307" s="1586"/>
      <c r="S1307" s="1586"/>
      <c r="T1307" s="1586"/>
    </row>
    <row r="1308" spans="1:23" ht="13.35" customHeight="1">
      <c r="A1308" s="1587"/>
      <c r="B1308" s="1587"/>
      <c r="C1308" s="1587"/>
      <c r="D1308" s="1587"/>
      <c r="E1308" s="1587"/>
      <c r="F1308" s="1587"/>
      <c r="G1308" s="1588" t="s">
        <v>79</v>
      </c>
      <c r="H1308" s="1588"/>
      <c r="I1308" s="1588"/>
      <c r="J1308" s="1588"/>
      <c r="K1308" s="1588"/>
      <c r="L1308" s="1588"/>
      <c r="M1308" s="1588"/>
      <c r="N1308" s="1588"/>
      <c r="O1308" s="1588"/>
      <c r="P1308" s="1588"/>
      <c r="Q1308" s="1588"/>
      <c r="R1308" s="1588"/>
    </row>
    <row r="1309" spans="1:23" ht="5.25" customHeight="1">
      <c r="A1309" s="1587"/>
      <c r="B1309" s="1587"/>
      <c r="C1309" s="1587"/>
      <c r="D1309" s="1587"/>
      <c r="E1309" s="1587"/>
      <c r="F1309" s="1587"/>
      <c r="G1309" s="1581" t="s">
        <v>7015</v>
      </c>
      <c r="H1309" s="1581"/>
      <c r="I1309" s="1581"/>
      <c r="J1309" s="1581"/>
      <c r="K1309" s="1581"/>
      <c r="L1309" s="1581"/>
      <c r="M1309" s="1581"/>
      <c r="N1309" s="1581"/>
      <c r="O1309" s="1581"/>
      <c r="P1309" s="1581"/>
      <c r="Q1309" s="1581"/>
    </row>
    <row r="1310" spans="1:23" ht="8.1" customHeight="1">
      <c r="B1310" s="1580" t="s">
        <v>1916</v>
      </c>
      <c r="C1310" s="1580"/>
      <c r="D1310" s="1580"/>
      <c r="E1310" s="1580"/>
      <c r="F1310" s="1580"/>
      <c r="G1310" s="1580"/>
      <c r="H1310" s="1581"/>
      <c r="I1310" s="1581"/>
      <c r="J1310" s="1581"/>
      <c r="K1310" s="1581"/>
      <c r="L1310" s="1581"/>
      <c r="M1310" s="1581"/>
      <c r="N1310" s="1582" t="s">
        <v>5619</v>
      </c>
      <c r="O1310" s="1582"/>
      <c r="P1310" s="1582"/>
      <c r="Q1310" s="1582"/>
      <c r="R1310" s="1582"/>
      <c r="S1310" s="1582"/>
      <c r="T1310" s="1583" t="s">
        <v>7016</v>
      </c>
      <c r="U1310" s="1583"/>
      <c r="V1310" s="1583"/>
      <c r="W1310" s="1583"/>
    </row>
    <row r="1311" spans="1:23" ht="6" customHeight="1">
      <c r="B1311" s="1580"/>
      <c r="C1311" s="1580"/>
      <c r="D1311" s="1580"/>
      <c r="E1311" s="1580"/>
      <c r="F1311" s="1580"/>
      <c r="G1311" s="1580"/>
      <c r="H1311" s="1584" t="s">
        <v>7017</v>
      </c>
      <c r="I1311" s="1584"/>
      <c r="J1311" s="1584"/>
      <c r="K1311" s="1584"/>
      <c r="L1311" s="1584"/>
      <c r="M1311" s="1584"/>
      <c r="N1311" s="1582"/>
      <c r="O1311" s="1582"/>
      <c r="P1311" s="1582"/>
      <c r="Q1311" s="1582"/>
      <c r="R1311" s="1582"/>
      <c r="S1311" s="1582"/>
      <c r="T1311" s="1583"/>
      <c r="U1311" s="1583"/>
      <c r="V1311" s="1583"/>
      <c r="W1311" s="1583"/>
    </row>
    <row r="1312" spans="1:23" ht="7.35" customHeight="1">
      <c r="B1312" s="1580" t="s">
        <v>1994</v>
      </c>
      <c r="C1312" s="1580"/>
      <c r="D1312" s="1580"/>
      <c r="E1312" s="1585"/>
      <c r="F1312" s="1585"/>
      <c r="G1312" s="1585"/>
      <c r="H1312" s="1585"/>
      <c r="I1312" s="1585"/>
      <c r="J1312" s="1585"/>
      <c r="K1312" s="1585"/>
      <c r="L1312" s="1585"/>
      <c r="M1312" s="1585"/>
      <c r="N1312" s="1585"/>
      <c r="O1312" s="1585"/>
      <c r="P1312" s="1585"/>
      <c r="Q1312" s="1585"/>
      <c r="R1312" s="1582"/>
      <c r="S1312" s="1582"/>
      <c r="T1312" s="1582" t="s">
        <v>7018</v>
      </c>
      <c r="U1312" s="1582"/>
    </row>
    <row r="1313" spans="1:21" ht="6.75" customHeight="1">
      <c r="E1313" s="1585"/>
      <c r="F1313" s="1585"/>
      <c r="G1313" s="1585"/>
      <c r="H1313" s="1585"/>
      <c r="I1313" s="1585"/>
      <c r="J1313" s="1585"/>
      <c r="K1313" s="1585"/>
      <c r="L1313" s="1585"/>
      <c r="M1313" s="1585"/>
      <c r="N1313" s="1585"/>
      <c r="O1313" s="1585"/>
      <c r="P1313" s="1585"/>
      <c r="Q1313" s="1585"/>
      <c r="R1313" s="1582"/>
      <c r="S1313" s="1582"/>
      <c r="T1313" s="1582"/>
      <c r="U1313" s="1582"/>
    </row>
    <row r="1314" spans="1:21" ht="10.9" customHeight="1">
      <c r="A1314" s="1576"/>
      <c r="B1314" s="1576"/>
      <c r="C1314" s="1576"/>
      <c r="D1314" s="1576"/>
      <c r="E1314" s="1576"/>
      <c r="F1314" s="1576"/>
      <c r="G1314" s="1576"/>
      <c r="H1314" s="1576"/>
      <c r="I1314" s="1576"/>
      <c r="J1314" s="1577" t="s">
        <v>1314</v>
      </c>
      <c r="K1314" s="1577"/>
      <c r="L1314" s="1577" t="s">
        <v>1315</v>
      </c>
      <c r="M1314" s="1577"/>
      <c r="N1314" s="1577"/>
      <c r="O1314" s="1577" t="s">
        <v>1316</v>
      </c>
      <c r="P1314" s="1577"/>
      <c r="Q1314" s="1577"/>
      <c r="R1314" s="1577"/>
      <c r="S1314" s="1577"/>
      <c r="T1314" s="1577"/>
      <c r="U1314" s="1577"/>
    </row>
    <row r="1315" spans="1:21" ht="14.1" customHeight="1">
      <c r="A1315" s="1578" t="s">
        <v>1317</v>
      </c>
      <c r="B1315" s="1578"/>
      <c r="C1315" s="1578" t="s">
        <v>1318</v>
      </c>
      <c r="D1315" s="1578"/>
      <c r="E1315" s="1578"/>
      <c r="F1315" s="1578" t="s">
        <v>1319</v>
      </c>
      <c r="G1315" s="1578"/>
      <c r="H1315" s="1578"/>
      <c r="I1315" s="1578"/>
      <c r="J1315" s="1413" t="s">
        <v>1320</v>
      </c>
      <c r="K1315" s="1413" t="s">
        <v>1321</v>
      </c>
      <c r="L1315" s="1413" t="s">
        <v>1320</v>
      </c>
      <c r="M1315" s="1579" t="s">
        <v>1321</v>
      </c>
      <c r="N1315" s="1579"/>
      <c r="O1315" s="1579" t="s">
        <v>1320</v>
      </c>
      <c r="P1315" s="1579"/>
      <c r="Q1315" s="1579" t="s">
        <v>1321</v>
      </c>
      <c r="R1315" s="1579"/>
      <c r="S1315" s="1579"/>
      <c r="T1315" s="1579"/>
      <c r="U1315" s="1579"/>
    </row>
    <row r="1316" spans="1:21" ht="22.5" customHeight="1">
      <c r="A1316" s="1574" t="s">
        <v>345</v>
      </c>
      <c r="B1316" s="1574"/>
      <c r="C1316" s="1574" t="s">
        <v>2465</v>
      </c>
      <c r="D1316" s="1574"/>
      <c r="E1316" s="1574"/>
      <c r="F1316" s="1574" t="s">
        <v>2466</v>
      </c>
      <c r="G1316" s="1574"/>
      <c r="H1316" s="1574"/>
      <c r="I1316" s="1574"/>
      <c r="J1316" s="1412">
        <v>0</v>
      </c>
      <c r="K1316" s="1412">
        <v>80000</v>
      </c>
      <c r="L1316" s="1412">
        <v>0</v>
      </c>
      <c r="M1316" s="1575">
        <v>0</v>
      </c>
      <c r="N1316" s="1575"/>
      <c r="O1316" s="1575">
        <v>0</v>
      </c>
      <c r="P1316" s="1575"/>
      <c r="Q1316" s="1575">
        <v>80000</v>
      </c>
      <c r="R1316" s="1575"/>
      <c r="S1316" s="1575"/>
      <c r="T1316" s="1575"/>
      <c r="U1316" s="1575"/>
    </row>
    <row r="1317" spans="1:21" ht="19.149999999999999" customHeight="1">
      <c r="A1317" s="1574" t="s">
        <v>345</v>
      </c>
      <c r="B1317" s="1574"/>
      <c r="C1317" s="1574" t="s">
        <v>2467</v>
      </c>
      <c r="D1317" s="1574"/>
      <c r="E1317" s="1574"/>
      <c r="F1317" s="1574" t="s">
        <v>2468</v>
      </c>
      <c r="G1317" s="1574"/>
      <c r="H1317" s="1574"/>
      <c r="I1317" s="1574"/>
      <c r="J1317" s="1412">
        <v>0</v>
      </c>
      <c r="K1317" s="1412">
        <v>50000</v>
      </c>
      <c r="L1317" s="1412">
        <v>0</v>
      </c>
      <c r="M1317" s="1575">
        <v>0</v>
      </c>
      <c r="N1317" s="1575"/>
      <c r="O1317" s="1575">
        <v>0</v>
      </c>
      <c r="P1317" s="1575"/>
      <c r="Q1317" s="1575">
        <v>50000</v>
      </c>
      <c r="R1317" s="1575"/>
      <c r="S1317" s="1575"/>
      <c r="T1317" s="1575"/>
      <c r="U1317" s="1575"/>
    </row>
    <row r="1318" spans="1:21" ht="19.149999999999999" customHeight="1">
      <c r="A1318" s="1574" t="s">
        <v>345</v>
      </c>
      <c r="B1318" s="1574"/>
      <c r="C1318" s="1574" t="s">
        <v>2469</v>
      </c>
      <c r="D1318" s="1574"/>
      <c r="E1318" s="1574"/>
      <c r="F1318" s="1574" t="s">
        <v>2470</v>
      </c>
      <c r="G1318" s="1574"/>
      <c r="H1318" s="1574"/>
      <c r="I1318" s="1574"/>
      <c r="J1318" s="1412">
        <v>0</v>
      </c>
      <c r="K1318" s="1412">
        <v>2000</v>
      </c>
      <c r="L1318" s="1412">
        <v>0</v>
      </c>
      <c r="M1318" s="1575">
        <v>0</v>
      </c>
      <c r="N1318" s="1575"/>
      <c r="O1318" s="1575">
        <v>0</v>
      </c>
      <c r="P1318" s="1575"/>
      <c r="Q1318" s="1575">
        <v>2000</v>
      </c>
      <c r="R1318" s="1575"/>
      <c r="S1318" s="1575"/>
      <c r="T1318" s="1575"/>
      <c r="U1318" s="1575"/>
    </row>
    <row r="1319" spans="1:21" ht="19.149999999999999" customHeight="1">
      <c r="A1319" s="1574" t="s">
        <v>345</v>
      </c>
      <c r="B1319" s="1574"/>
      <c r="C1319" s="1574" t="s">
        <v>2471</v>
      </c>
      <c r="D1319" s="1574"/>
      <c r="E1319" s="1574"/>
      <c r="F1319" s="1574" t="s">
        <v>2416</v>
      </c>
      <c r="G1319" s="1574"/>
      <c r="H1319" s="1574"/>
      <c r="I1319" s="1574"/>
      <c r="J1319" s="1412">
        <v>0</v>
      </c>
      <c r="K1319" s="1412">
        <v>200000</v>
      </c>
      <c r="L1319" s="1412">
        <v>0</v>
      </c>
      <c r="M1319" s="1575">
        <v>0</v>
      </c>
      <c r="N1319" s="1575"/>
      <c r="O1319" s="1575">
        <v>0</v>
      </c>
      <c r="P1319" s="1575"/>
      <c r="Q1319" s="1575">
        <v>200000</v>
      </c>
      <c r="R1319" s="1575"/>
      <c r="S1319" s="1575"/>
      <c r="T1319" s="1575"/>
      <c r="U1319" s="1575"/>
    </row>
    <row r="1320" spans="1:21" ht="19.149999999999999" customHeight="1">
      <c r="A1320" s="1574" t="s">
        <v>345</v>
      </c>
      <c r="B1320" s="1574"/>
      <c r="C1320" s="1574" t="s">
        <v>2472</v>
      </c>
      <c r="D1320" s="1574"/>
      <c r="E1320" s="1574"/>
      <c r="F1320" s="1574" t="s">
        <v>2418</v>
      </c>
      <c r="G1320" s="1574"/>
      <c r="H1320" s="1574"/>
      <c r="I1320" s="1574"/>
      <c r="J1320" s="1412">
        <v>0</v>
      </c>
      <c r="K1320" s="1412">
        <v>450000</v>
      </c>
      <c r="L1320" s="1412">
        <v>0</v>
      </c>
      <c r="M1320" s="1575">
        <v>0</v>
      </c>
      <c r="N1320" s="1575"/>
      <c r="O1320" s="1575">
        <v>0</v>
      </c>
      <c r="P1320" s="1575"/>
      <c r="Q1320" s="1575">
        <v>450000</v>
      </c>
      <c r="R1320" s="1575"/>
      <c r="S1320" s="1575"/>
      <c r="T1320" s="1575"/>
      <c r="U1320" s="1575"/>
    </row>
    <row r="1321" spans="1:21" ht="19.149999999999999" customHeight="1">
      <c r="A1321" s="1574" t="s">
        <v>345</v>
      </c>
      <c r="B1321" s="1574"/>
      <c r="C1321" s="1574" t="s">
        <v>2473</v>
      </c>
      <c r="D1321" s="1574"/>
      <c r="E1321" s="1574"/>
      <c r="F1321" s="1574" t="s">
        <v>2474</v>
      </c>
      <c r="G1321" s="1574"/>
      <c r="H1321" s="1574"/>
      <c r="I1321" s="1574"/>
      <c r="J1321" s="1412">
        <v>0</v>
      </c>
      <c r="K1321" s="1412">
        <v>25000</v>
      </c>
      <c r="L1321" s="1412">
        <v>0</v>
      </c>
      <c r="M1321" s="1575">
        <v>0</v>
      </c>
      <c r="N1321" s="1575"/>
      <c r="O1321" s="1575">
        <v>0</v>
      </c>
      <c r="P1321" s="1575"/>
      <c r="Q1321" s="1575">
        <v>25000</v>
      </c>
      <c r="R1321" s="1575"/>
      <c r="S1321" s="1575"/>
      <c r="T1321" s="1575"/>
      <c r="U1321" s="1575"/>
    </row>
    <row r="1322" spans="1:21" ht="19.149999999999999" customHeight="1">
      <c r="A1322" s="1574" t="s">
        <v>345</v>
      </c>
      <c r="B1322" s="1574"/>
      <c r="C1322" s="1574" t="s">
        <v>2475</v>
      </c>
      <c r="D1322" s="1574"/>
      <c r="E1322" s="1574"/>
      <c r="F1322" s="1574" t="s">
        <v>2476</v>
      </c>
      <c r="G1322" s="1574"/>
      <c r="H1322" s="1574"/>
      <c r="I1322" s="1574"/>
      <c r="J1322" s="1412">
        <v>0</v>
      </c>
      <c r="K1322" s="1412">
        <v>350000</v>
      </c>
      <c r="L1322" s="1412">
        <v>0</v>
      </c>
      <c r="M1322" s="1575">
        <v>0</v>
      </c>
      <c r="N1322" s="1575"/>
      <c r="O1322" s="1575">
        <v>0</v>
      </c>
      <c r="P1322" s="1575"/>
      <c r="Q1322" s="1575">
        <v>350000</v>
      </c>
      <c r="R1322" s="1575"/>
      <c r="S1322" s="1575"/>
      <c r="T1322" s="1575"/>
      <c r="U1322" s="1575"/>
    </row>
    <row r="1323" spans="1:21" ht="19.149999999999999" customHeight="1">
      <c r="A1323" s="1574" t="s">
        <v>345</v>
      </c>
      <c r="B1323" s="1574"/>
      <c r="C1323" s="1574" t="s">
        <v>2477</v>
      </c>
      <c r="D1323" s="1574"/>
      <c r="E1323" s="1574"/>
      <c r="F1323" s="1574" t="s">
        <v>2478</v>
      </c>
      <c r="G1323" s="1574"/>
      <c r="H1323" s="1574"/>
      <c r="I1323" s="1574"/>
      <c r="J1323" s="1412">
        <v>0</v>
      </c>
      <c r="K1323" s="1412">
        <v>30000</v>
      </c>
      <c r="L1323" s="1412">
        <v>0</v>
      </c>
      <c r="M1323" s="1575">
        <v>0</v>
      </c>
      <c r="N1323" s="1575"/>
      <c r="O1323" s="1575">
        <v>0</v>
      </c>
      <c r="P1323" s="1575"/>
      <c r="Q1323" s="1575">
        <v>30000</v>
      </c>
      <c r="R1323" s="1575"/>
      <c r="S1323" s="1575"/>
      <c r="T1323" s="1575"/>
      <c r="U1323" s="1575"/>
    </row>
    <row r="1324" spans="1:21" ht="19.149999999999999" customHeight="1">
      <c r="A1324" s="1574" t="s">
        <v>345</v>
      </c>
      <c r="B1324" s="1574"/>
      <c r="C1324" s="1574" t="s">
        <v>2479</v>
      </c>
      <c r="D1324" s="1574"/>
      <c r="E1324" s="1574"/>
      <c r="F1324" s="1574" t="s">
        <v>2480</v>
      </c>
      <c r="G1324" s="1574"/>
      <c r="H1324" s="1574"/>
      <c r="I1324" s="1574"/>
      <c r="J1324" s="1412">
        <v>0</v>
      </c>
      <c r="K1324" s="1412">
        <v>13000</v>
      </c>
      <c r="L1324" s="1412">
        <v>0</v>
      </c>
      <c r="M1324" s="1575">
        <v>0</v>
      </c>
      <c r="N1324" s="1575"/>
      <c r="O1324" s="1575">
        <v>0</v>
      </c>
      <c r="P1324" s="1575"/>
      <c r="Q1324" s="1575">
        <v>13000</v>
      </c>
      <c r="R1324" s="1575"/>
      <c r="S1324" s="1575"/>
      <c r="T1324" s="1575"/>
      <c r="U1324" s="1575"/>
    </row>
    <row r="1325" spans="1:21" ht="19.149999999999999" customHeight="1">
      <c r="A1325" s="1574" t="s">
        <v>345</v>
      </c>
      <c r="B1325" s="1574"/>
      <c r="C1325" s="1574" t="s">
        <v>2481</v>
      </c>
      <c r="D1325" s="1574"/>
      <c r="E1325" s="1574"/>
      <c r="F1325" s="1574" t="s">
        <v>2482</v>
      </c>
      <c r="G1325" s="1574"/>
      <c r="H1325" s="1574"/>
      <c r="I1325" s="1574"/>
      <c r="J1325" s="1412">
        <v>0</v>
      </c>
      <c r="K1325" s="1412">
        <v>39600</v>
      </c>
      <c r="L1325" s="1412">
        <v>0</v>
      </c>
      <c r="M1325" s="1575">
        <v>0</v>
      </c>
      <c r="N1325" s="1575"/>
      <c r="O1325" s="1575">
        <v>0</v>
      </c>
      <c r="P1325" s="1575"/>
      <c r="Q1325" s="1575">
        <v>39600</v>
      </c>
      <c r="R1325" s="1575"/>
      <c r="S1325" s="1575"/>
      <c r="T1325" s="1575"/>
      <c r="U1325" s="1575"/>
    </row>
    <row r="1326" spans="1:21" ht="19.149999999999999" customHeight="1">
      <c r="A1326" s="1574" t="s">
        <v>345</v>
      </c>
      <c r="B1326" s="1574"/>
      <c r="C1326" s="1574" t="s">
        <v>2483</v>
      </c>
      <c r="D1326" s="1574"/>
      <c r="E1326" s="1574"/>
      <c r="F1326" s="1574" t="s">
        <v>2484</v>
      </c>
      <c r="G1326" s="1574"/>
      <c r="H1326" s="1574"/>
      <c r="I1326" s="1574"/>
      <c r="J1326" s="1412">
        <v>0</v>
      </c>
      <c r="K1326" s="1412">
        <v>400000</v>
      </c>
      <c r="L1326" s="1412">
        <v>0</v>
      </c>
      <c r="M1326" s="1575">
        <v>0</v>
      </c>
      <c r="N1326" s="1575"/>
      <c r="O1326" s="1575">
        <v>0</v>
      </c>
      <c r="P1326" s="1575"/>
      <c r="Q1326" s="1575">
        <v>400000</v>
      </c>
      <c r="R1326" s="1575"/>
      <c r="S1326" s="1575"/>
      <c r="T1326" s="1575"/>
      <c r="U1326" s="1575"/>
    </row>
    <row r="1327" spans="1:21" ht="19.149999999999999" customHeight="1">
      <c r="A1327" s="1574" t="s">
        <v>345</v>
      </c>
      <c r="B1327" s="1574"/>
      <c r="C1327" s="1574" t="s">
        <v>2485</v>
      </c>
      <c r="D1327" s="1574"/>
      <c r="E1327" s="1574"/>
      <c r="F1327" s="1574" t="s">
        <v>2486</v>
      </c>
      <c r="G1327" s="1574"/>
      <c r="H1327" s="1574"/>
      <c r="I1327" s="1574"/>
      <c r="J1327" s="1412">
        <v>0</v>
      </c>
      <c r="K1327" s="1412">
        <v>250000</v>
      </c>
      <c r="L1327" s="1412">
        <v>0</v>
      </c>
      <c r="M1327" s="1575">
        <v>0</v>
      </c>
      <c r="N1327" s="1575"/>
      <c r="O1327" s="1575">
        <v>0</v>
      </c>
      <c r="P1327" s="1575"/>
      <c r="Q1327" s="1575">
        <v>250000</v>
      </c>
      <c r="R1327" s="1575"/>
      <c r="S1327" s="1575"/>
      <c r="T1327" s="1575"/>
      <c r="U1327" s="1575"/>
    </row>
    <row r="1328" spans="1:21" ht="19.149999999999999" customHeight="1">
      <c r="A1328" s="1574" t="s">
        <v>345</v>
      </c>
      <c r="B1328" s="1574"/>
      <c r="C1328" s="1574" t="s">
        <v>2487</v>
      </c>
      <c r="D1328" s="1574"/>
      <c r="E1328" s="1574"/>
      <c r="F1328" s="1574" t="s">
        <v>2488</v>
      </c>
      <c r="G1328" s="1574"/>
      <c r="H1328" s="1574"/>
      <c r="I1328" s="1574"/>
      <c r="J1328" s="1412">
        <v>0</v>
      </c>
      <c r="K1328" s="1412">
        <v>140000</v>
      </c>
      <c r="L1328" s="1412">
        <v>0</v>
      </c>
      <c r="M1328" s="1575">
        <v>0</v>
      </c>
      <c r="N1328" s="1575"/>
      <c r="O1328" s="1575">
        <v>0</v>
      </c>
      <c r="P1328" s="1575"/>
      <c r="Q1328" s="1575">
        <v>140000</v>
      </c>
      <c r="R1328" s="1575"/>
      <c r="S1328" s="1575"/>
      <c r="T1328" s="1575"/>
      <c r="U1328" s="1575"/>
    </row>
    <row r="1329" spans="1:23" ht="19.149999999999999" customHeight="1">
      <c r="A1329" s="1574" t="s">
        <v>345</v>
      </c>
      <c r="B1329" s="1574"/>
      <c r="C1329" s="1574" t="s">
        <v>2489</v>
      </c>
      <c r="D1329" s="1574"/>
      <c r="E1329" s="1574"/>
      <c r="F1329" s="1574" t="s">
        <v>2490</v>
      </c>
      <c r="G1329" s="1574"/>
      <c r="H1329" s="1574"/>
      <c r="I1329" s="1574"/>
      <c r="J1329" s="1412">
        <v>0</v>
      </c>
      <c r="K1329" s="1412">
        <v>50000</v>
      </c>
      <c r="L1329" s="1412">
        <v>0</v>
      </c>
      <c r="M1329" s="1575">
        <v>0</v>
      </c>
      <c r="N1329" s="1575"/>
      <c r="O1329" s="1575">
        <v>0</v>
      </c>
      <c r="P1329" s="1575"/>
      <c r="Q1329" s="1575">
        <v>50000</v>
      </c>
      <c r="R1329" s="1575"/>
      <c r="S1329" s="1575"/>
      <c r="T1329" s="1575"/>
      <c r="U1329" s="1575"/>
    </row>
    <row r="1330" spans="1:23" ht="19.149999999999999" customHeight="1">
      <c r="A1330" s="1574" t="s">
        <v>345</v>
      </c>
      <c r="B1330" s="1574"/>
      <c r="C1330" s="1574" t="s">
        <v>2491</v>
      </c>
      <c r="D1330" s="1574"/>
      <c r="E1330" s="1574"/>
      <c r="F1330" s="1574" t="s">
        <v>2421</v>
      </c>
      <c r="G1330" s="1574"/>
      <c r="H1330" s="1574"/>
      <c r="I1330" s="1574"/>
      <c r="J1330" s="1412">
        <v>0</v>
      </c>
      <c r="K1330" s="1412">
        <v>200000</v>
      </c>
      <c r="L1330" s="1412">
        <v>0</v>
      </c>
      <c r="M1330" s="1575">
        <v>0</v>
      </c>
      <c r="N1330" s="1575"/>
      <c r="O1330" s="1575">
        <v>0</v>
      </c>
      <c r="P1330" s="1575"/>
      <c r="Q1330" s="1575">
        <v>200000</v>
      </c>
      <c r="R1330" s="1575"/>
      <c r="S1330" s="1575"/>
      <c r="T1330" s="1575"/>
      <c r="U1330" s="1575"/>
    </row>
    <row r="1331" spans="1:23" ht="19.149999999999999" customHeight="1">
      <c r="A1331" s="1574" t="s">
        <v>345</v>
      </c>
      <c r="B1331" s="1574"/>
      <c r="C1331" s="1574" t="s">
        <v>2492</v>
      </c>
      <c r="D1331" s="1574"/>
      <c r="E1331" s="1574"/>
      <c r="F1331" s="1574" t="s">
        <v>2493</v>
      </c>
      <c r="G1331" s="1574"/>
      <c r="H1331" s="1574"/>
      <c r="I1331" s="1574"/>
      <c r="J1331" s="1412">
        <v>0</v>
      </c>
      <c r="K1331" s="1412">
        <v>20388</v>
      </c>
      <c r="L1331" s="1412">
        <v>0</v>
      </c>
      <c r="M1331" s="1575">
        <v>0</v>
      </c>
      <c r="N1331" s="1575"/>
      <c r="O1331" s="1575">
        <v>0</v>
      </c>
      <c r="P1331" s="1575"/>
      <c r="Q1331" s="1575">
        <v>20388</v>
      </c>
      <c r="R1331" s="1575"/>
      <c r="S1331" s="1575"/>
      <c r="T1331" s="1575"/>
      <c r="U1331" s="1575"/>
    </row>
    <row r="1332" spans="1:23" ht="19.149999999999999" customHeight="1">
      <c r="A1332" s="1574" t="s">
        <v>345</v>
      </c>
      <c r="B1332" s="1574"/>
      <c r="C1332" s="1574" t="s">
        <v>2494</v>
      </c>
      <c r="D1332" s="1574"/>
      <c r="E1332" s="1574"/>
      <c r="F1332" s="1574" t="s">
        <v>2423</v>
      </c>
      <c r="G1332" s="1574"/>
      <c r="H1332" s="1574"/>
      <c r="I1332" s="1574"/>
      <c r="J1332" s="1412">
        <v>0</v>
      </c>
      <c r="K1332" s="1412">
        <v>800000</v>
      </c>
      <c r="L1332" s="1412">
        <v>0</v>
      </c>
      <c r="M1332" s="1575">
        <v>0</v>
      </c>
      <c r="N1332" s="1575"/>
      <c r="O1332" s="1575">
        <v>0</v>
      </c>
      <c r="P1332" s="1575"/>
      <c r="Q1332" s="1575">
        <v>800000</v>
      </c>
      <c r="R1332" s="1575"/>
      <c r="S1332" s="1575"/>
      <c r="T1332" s="1575"/>
      <c r="U1332" s="1575"/>
    </row>
    <row r="1333" spans="1:23" ht="19.149999999999999" customHeight="1">
      <c r="A1333" s="1574" t="s">
        <v>345</v>
      </c>
      <c r="B1333" s="1574"/>
      <c r="C1333" s="1574" t="s">
        <v>2495</v>
      </c>
      <c r="D1333" s="1574"/>
      <c r="E1333" s="1574"/>
      <c r="F1333" s="1574" t="s">
        <v>2496</v>
      </c>
      <c r="G1333" s="1574"/>
      <c r="H1333" s="1574"/>
      <c r="I1333" s="1574"/>
      <c r="J1333" s="1412">
        <v>0</v>
      </c>
      <c r="K1333" s="1412">
        <v>60000</v>
      </c>
      <c r="L1333" s="1412">
        <v>0</v>
      </c>
      <c r="M1333" s="1575">
        <v>0</v>
      </c>
      <c r="N1333" s="1575"/>
      <c r="O1333" s="1575">
        <v>0</v>
      </c>
      <c r="P1333" s="1575"/>
      <c r="Q1333" s="1575">
        <v>60000</v>
      </c>
      <c r="R1333" s="1575"/>
      <c r="S1333" s="1575"/>
      <c r="T1333" s="1575"/>
      <c r="U1333" s="1575"/>
    </row>
    <row r="1334" spans="1:23" ht="19.149999999999999" customHeight="1">
      <c r="A1334" s="1574" t="s">
        <v>345</v>
      </c>
      <c r="B1334" s="1574"/>
      <c r="C1334" s="1574" t="s">
        <v>2497</v>
      </c>
      <c r="D1334" s="1574"/>
      <c r="E1334" s="1574"/>
      <c r="F1334" s="1574" t="s">
        <v>2498</v>
      </c>
      <c r="G1334" s="1574"/>
      <c r="H1334" s="1574"/>
      <c r="I1334" s="1574"/>
      <c r="J1334" s="1412">
        <v>0</v>
      </c>
      <c r="K1334" s="1412">
        <v>300000</v>
      </c>
      <c r="L1334" s="1412">
        <v>0</v>
      </c>
      <c r="M1334" s="1575">
        <v>0</v>
      </c>
      <c r="N1334" s="1575"/>
      <c r="O1334" s="1575">
        <v>0</v>
      </c>
      <c r="P1334" s="1575"/>
      <c r="Q1334" s="1575">
        <v>300000</v>
      </c>
      <c r="R1334" s="1575"/>
      <c r="S1334" s="1575"/>
      <c r="T1334" s="1575"/>
      <c r="U1334" s="1575"/>
    </row>
    <row r="1335" spans="1:23" ht="19.149999999999999" customHeight="1">
      <c r="A1335" s="1574" t="s">
        <v>345</v>
      </c>
      <c r="B1335" s="1574"/>
      <c r="C1335" s="1574" t="s">
        <v>2499</v>
      </c>
      <c r="D1335" s="1574"/>
      <c r="E1335" s="1574"/>
      <c r="F1335" s="1574" t="s">
        <v>2500</v>
      </c>
      <c r="G1335" s="1574"/>
      <c r="H1335" s="1574"/>
      <c r="I1335" s="1574"/>
      <c r="J1335" s="1412">
        <v>0</v>
      </c>
      <c r="K1335" s="1412">
        <v>162837</v>
      </c>
      <c r="L1335" s="1412">
        <v>0</v>
      </c>
      <c r="M1335" s="1575">
        <v>0</v>
      </c>
      <c r="N1335" s="1575"/>
      <c r="O1335" s="1575">
        <v>0</v>
      </c>
      <c r="P1335" s="1575"/>
      <c r="Q1335" s="1575">
        <v>162837</v>
      </c>
      <c r="R1335" s="1575"/>
      <c r="S1335" s="1575"/>
      <c r="T1335" s="1575"/>
      <c r="U1335" s="1575"/>
    </row>
    <row r="1336" spans="1:23" ht="19.149999999999999" customHeight="1">
      <c r="A1336" s="1574" t="s">
        <v>345</v>
      </c>
      <c r="B1336" s="1574"/>
      <c r="C1336" s="1574" t="s">
        <v>2501</v>
      </c>
      <c r="D1336" s="1574"/>
      <c r="E1336" s="1574"/>
      <c r="F1336" s="1574" t="s">
        <v>2502</v>
      </c>
      <c r="G1336" s="1574"/>
      <c r="H1336" s="1574"/>
      <c r="I1336" s="1574"/>
      <c r="J1336" s="1412">
        <v>0</v>
      </c>
      <c r="K1336" s="1412">
        <v>5869462</v>
      </c>
      <c r="L1336" s="1412">
        <v>0</v>
      </c>
      <c r="M1336" s="1575">
        <v>0</v>
      </c>
      <c r="N1336" s="1575"/>
      <c r="O1336" s="1575">
        <v>0</v>
      </c>
      <c r="P1336" s="1575"/>
      <c r="Q1336" s="1575">
        <v>5869462</v>
      </c>
      <c r="R1336" s="1575"/>
      <c r="S1336" s="1575"/>
      <c r="T1336" s="1575"/>
      <c r="U1336" s="1575"/>
    </row>
    <row r="1337" spans="1:23" ht="19.149999999999999" customHeight="1">
      <c r="A1337" s="1574" t="s">
        <v>345</v>
      </c>
      <c r="B1337" s="1574"/>
      <c r="C1337" s="1574" t="s">
        <v>2503</v>
      </c>
      <c r="D1337" s="1574"/>
      <c r="E1337" s="1574"/>
      <c r="F1337" s="1574" t="s">
        <v>2504</v>
      </c>
      <c r="G1337" s="1574"/>
      <c r="H1337" s="1574"/>
      <c r="I1337" s="1574"/>
      <c r="J1337" s="1412">
        <v>0</v>
      </c>
      <c r="K1337" s="1412">
        <v>420000</v>
      </c>
      <c r="L1337" s="1412">
        <v>0</v>
      </c>
      <c r="M1337" s="1575">
        <v>0</v>
      </c>
      <c r="N1337" s="1575"/>
      <c r="O1337" s="1575">
        <v>0</v>
      </c>
      <c r="P1337" s="1575"/>
      <c r="Q1337" s="1575">
        <v>420000</v>
      </c>
      <c r="R1337" s="1575"/>
      <c r="S1337" s="1575"/>
      <c r="T1337" s="1575"/>
      <c r="U1337" s="1575"/>
    </row>
    <row r="1338" spans="1:23" ht="19.149999999999999" customHeight="1">
      <c r="A1338" s="1574" t="s">
        <v>345</v>
      </c>
      <c r="B1338" s="1574"/>
      <c r="C1338" s="1574" t="s">
        <v>2506</v>
      </c>
      <c r="D1338" s="1574"/>
      <c r="E1338" s="1574"/>
      <c r="F1338" s="1574" t="s">
        <v>2507</v>
      </c>
      <c r="G1338" s="1574"/>
      <c r="H1338" s="1574"/>
      <c r="I1338" s="1574"/>
      <c r="J1338" s="1412">
        <v>0</v>
      </c>
      <c r="K1338" s="1412">
        <v>10000</v>
      </c>
      <c r="L1338" s="1412">
        <v>0</v>
      </c>
      <c r="M1338" s="1575">
        <v>0</v>
      </c>
      <c r="N1338" s="1575"/>
      <c r="O1338" s="1575">
        <v>0</v>
      </c>
      <c r="P1338" s="1575"/>
      <c r="Q1338" s="1575">
        <v>10000</v>
      </c>
      <c r="R1338" s="1575"/>
      <c r="S1338" s="1575"/>
      <c r="T1338" s="1575"/>
      <c r="U1338" s="1575"/>
    </row>
    <row r="1339" spans="1:23" ht="6.95" customHeight="1"/>
    <row r="1340" spans="1:23" ht="14.1" customHeight="1">
      <c r="S1340" s="1573" t="s">
        <v>2866</v>
      </c>
      <c r="T1340" s="1573"/>
      <c r="U1340" s="1573"/>
      <c r="V1340" s="1573"/>
      <c r="W1340" s="1573"/>
    </row>
    <row r="1341" spans="1:23" ht="7.15" customHeight="1">
      <c r="C1341" s="1586" t="s">
        <v>2987</v>
      </c>
      <c r="D1341" s="1586"/>
      <c r="E1341" s="1586"/>
      <c r="F1341" s="1586"/>
      <c r="G1341" s="1586"/>
      <c r="H1341" s="1586"/>
      <c r="I1341" s="1586"/>
      <c r="J1341" s="1586"/>
      <c r="K1341" s="1586"/>
      <c r="L1341" s="1586"/>
      <c r="M1341" s="1586"/>
      <c r="N1341" s="1586"/>
      <c r="O1341" s="1586"/>
      <c r="P1341" s="1586"/>
      <c r="Q1341" s="1586"/>
      <c r="R1341" s="1586"/>
      <c r="S1341" s="1586"/>
      <c r="T1341" s="1586"/>
    </row>
    <row r="1342" spans="1:23" ht="9.6" customHeight="1">
      <c r="A1342" s="1587"/>
      <c r="B1342" s="1587"/>
      <c r="C1342" s="1587"/>
      <c r="D1342" s="1587"/>
      <c r="E1342" s="1587"/>
      <c r="F1342" s="1587"/>
      <c r="G1342" s="1586"/>
      <c r="H1342" s="1586"/>
      <c r="I1342" s="1586"/>
      <c r="J1342" s="1586"/>
      <c r="K1342" s="1586"/>
      <c r="L1342" s="1586"/>
      <c r="M1342" s="1586"/>
      <c r="N1342" s="1586"/>
      <c r="O1342" s="1586"/>
      <c r="P1342" s="1586"/>
      <c r="Q1342" s="1586"/>
      <c r="R1342" s="1586"/>
      <c r="S1342" s="1586"/>
      <c r="T1342" s="1586"/>
    </row>
    <row r="1343" spans="1:23" ht="13.35" customHeight="1">
      <c r="A1343" s="1587"/>
      <c r="B1343" s="1587"/>
      <c r="C1343" s="1587"/>
      <c r="D1343" s="1587"/>
      <c r="E1343" s="1587"/>
      <c r="F1343" s="1587"/>
      <c r="G1343" s="1588" t="s">
        <v>79</v>
      </c>
      <c r="H1343" s="1588"/>
      <c r="I1343" s="1588"/>
      <c r="J1343" s="1588"/>
      <c r="K1343" s="1588"/>
      <c r="L1343" s="1588"/>
      <c r="M1343" s="1588"/>
      <c r="N1343" s="1588"/>
      <c r="O1343" s="1588"/>
      <c r="P1343" s="1588"/>
      <c r="Q1343" s="1588"/>
      <c r="R1343" s="1588"/>
    </row>
    <row r="1344" spans="1:23" ht="5.25" customHeight="1">
      <c r="A1344" s="1587"/>
      <c r="B1344" s="1587"/>
      <c r="C1344" s="1587"/>
      <c r="D1344" s="1587"/>
      <c r="E1344" s="1587"/>
      <c r="F1344" s="1587"/>
      <c r="G1344" s="1581" t="s">
        <v>7015</v>
      </c>
      <c r="H1344" s="1581"/>
      <c r="I1344" s="1581"/>
      <c r="J1344" s="1581"/>
      <c r="K1344" s="1581"/>
      <c r="L1344" s="1581"/>
      <c r="M1344" s="1581"/>
      <c r="N1344" s="1581"/>
      <c r="O1344" s="1581"/>
      <c r="P1344" s="1581"/>
      <c r="Q1344" s="1581"/>
    </row>
    <row r="1345" spans="1:23" ht="8.1" customHeight="1">
      <c r="B1345" s="1580" t="s">
        <v>1916</v>
      </c>
      <c r="C1345" s="1580"/>
      <c r="D1345" s="1580"/>
      <c r="E1345" s="1580"/>
      <c r="F1345" s="1580"/>
      <c r="G1345" s="1580"/>
      <c r="H1345" s="1581"/>
      <c r="I1345" s="1581"/>
      <c r="J1345" s="1581"/>
      <c r="K1345" s="1581"/>
      <c r="L1345" s="1581"/>
      <c r="M1345" s="1581"/>
      <c r="N1345" s="1582" t="s">
        <v>5619</v>
      </c>
      <c r="O1345" s="1582"/>
      <c r="P1345" s="1582"/>
      <c r="Q1345" s="1582"/>
      <c r="R1345" s="1582"/>
      <c r="S1345" s="1582"/>
      <c r="T1345" s="1583" t="s">
        <v>7016</v>
      </c>
      <c r="U1345" s="1583"/>
      <c r="V1345" s="1583"/>
      <c r="W1345" s="1583"/>
    </row>
    <row r="1346" spans="1:23" ht="6" customHeight="1">
      <c r="B1346" s="1580"/>
      <c r="C1346" s="1580"/>
      <c r="D1346" s="1580"/>
      <c r="E1346" s="1580"/>
      <c r="F1346" s="1580"/>
      <c r="G1346" s="1580"/>
      <c r="H1346" s="1584" t="s">
        <v>7017</v>
      </c>
      <c r="I1346" s="1584"/>
      <c r="J1346" s="1584"/>
      <c r="K1346" s="1584"/>
      <c r="L1346" s="1584"/>
      <c r="M1346" s="1584"/>
      <c r="N1346" s="1582"/>
      <c r="O1346" s="1582"/>
      <c r="P1346" s="1582"/>
      <c r="Q1346" s="1582"/>
      <c r="R1346" s="1582"/>
      <c r="S1346" s="1582"/>
      <c r="T1346" s="1583"/>
      <c r="U1346" s="1583"/>
      <c r="V1346" s="1583"/>
      <c r="W1346" s="1583"/>
    </row>
    <row r="1347" spans="1:23" ht="7.35" customHeight="1">
      <c r="B1347" s="1580" t="s">
        <v>1994</v>
      </c>
      <c r="C1347" s="1580"/>
      <c r="D1347" s="1580"/>
      <c r="E1347" s="1585"/>
      <c r="F1347" s="1585"/>
      <c r="G1347" s="1585"/>
      <c r="H1347" s="1585"/>
      <c r="I1347" s="1585"/>
      <c r="J1347" s="1585"/>
      <c r="K1347" s="1585"/>
      <c r="L1347" s="1585"/>
      <c r="M1347" s="1585"/>
      <c r="N1347" s="1585"/>
      <c r="O1347" s="1585"/>
      <c r="P1347" s="1585"/>
      <c r="Q1347" s="1585"/>
      <c r="R1347" s="1582"/>
      <c r="S1347" s="1582"/>
      <c r="T1347" s="1582" t="s">
        <v>7018</v>
      </c>
      <c r="U1347" s="1582"/>
    </row>
    <row r="1348" spans="1:23" ht="6.75" customHeight="1">
      <c r="E1348" s="1585"/>
      <c r="F1348" s="1585"/>
      <c r="G1348" s="1585"/>
      <c r="H1348" s="1585"/>
      <c r="I1348" s="1585"/>
      <c r="J1348" s="1585"/>
      <c r="K1348" s="1585"/>
      <c r="L1348" s="1585"/>
      <c r="M1348" s="1585"/>
      <c r="N1348" s="1585"/>
      <c r="O1348" s="1585"/>
      <c r="P1348" s="1585"/>
      <c r="Q1348" s="1585"/>
      <c r="R1348" s="1582"/>
      <c r="S1348" s="1582"/>
      <c r="T1348" s="1582"/>
      <c r="U1348" s="1582"/>
    </row>
    <row r="1349" spans="1:23" ht="10.9" customHeight="1">
      <c r="A1349" s="1576"/>
      <c r="B1349" s="1576"/>
      <c r="C1349" s="1576"/>
      <c r="D1349" s="1576"/>
      <c r="E1349" s="1576"/>
      <c r="F1349" s="1576"/>
      <c r="G1349" s="1576"/>
      <c r="H1349" s="1576"/>
      <c r="I1349" s="1576"/>
      <c r="J1349" s="1577" t="s">
        <v>1314</v>
      </c>
      <c r="K1349" s="1577"/>
      <c r="L1349" s="1577" t="s">
        <v>1315</v>
      </c>
      <c r="M1349" s="1577"/>
      <c r="N1349" s="1577"/>
      <c r="O1349" s="1577" t="s">
        <v>1316</v>
      </c>
      <c r="P1349" s="1577"/>
      <c r="Q1349" s="1577"/>
      <c r="R1349" s="1577"/>
      <c r="S1349" s="1577"/>
      <c r="T1349" s="1577"/>
      <c r="U1349" s="1577"/>
    </row>
    <row r="1350" spans="1:23" ht="14.1" customHeight="1">
      <c r="A1350" s="1578" t="s">
        <v>1317</v>
      </c>
      <c r="B1350" s="1578"/>
      <c r="C1350" s="1578" t="s">
        <v>1318</v>
      </c>
      <c r="D1350" s="1578"/>
      <c r="E1350" s="1578"/>
      <c r="F1350" s="1578" t="s">
        <v>1319</v>
      </c>
      <c r="G1350" s="1578"/>
      <c r="H1350" s="1578"/>
      <c r="I1350" s="1578"/>
      <c r="J1350" s="1413" t="s">
        <v>1320</v>
      </c>
      <c r="K1350" s="1413" t="s">
        <v>1321</v>
      </c>
      <c r="L1350" s="1413" t="s">
        <v>1320</v>
      </c>
      <c r="M1350" s="1579" t="s">
        <v>1321</v>
      </c>
      <c r="N1350" s="1579"/>
      <c r="O1350" s="1579" t="s">
        <v>1320</v>
      </c>
      <c r="P1350" s="1579"/>
      <c r="Q1350" s="1579" t="s">
        <v>1321</v>
      </c>
      <c r="R1350" s="1579"/>
      <c r="S1350" s="1579"/>
      <c r="T1350" s="1579"/>
      <c r="U1350" s="1579"/>
    </row>
    <row r="1351" spans="1:23" ht="22.5" customHeight="1">
      <c r="A1351" s="1574" t="s">
        <v>345</v>
      </c>
      <c r="B1351" s="1574"/>
      <c r="C1351" s="1574" t="s">
        <v>2508</v>
      </c>
      <c r="D1351" s="1574"/>
      <c r="E1351" s="1574"/>
      <c r="F1351" s="1574" t="s">
        <v>2509</v>
      </c>
      <c r="G1351" s="1574"/>
      <c r="H1351" s="1574"/>
      <c r="I1351" s="1574"/>
      <c r="J1351" s="1412">
        <v>0</v>
      </c>
      <c r="K1351" s="1412">
        <v>240000</v>
      </c>
      <c r="L1351" s="1412">
        <v>0</v>
      </c>
      <c r="M1351" s="1575">
        <v>0</v>
      </c>
      <c r="N1351" s="1575"/>
      <c r="O1351" s="1575">
        <v>0</v>
      </c>
      <c r="P1351" s="1575"/>
      <c r="Q1351" s="1575">
        <v>240000</v>
      </c>
      <c r="R1351" s="1575"/>
      <c r="S1351" s="1575"/>
      <c r="T1351" s="1575"/>
      <c r="U1351" s="1575"/>
    </row>
    <row r="1352" spans="1:23" ht="19.149999999999999" customHeight="1">
      <c r="A1352" s="1574" t="s">
        <v>345</v>
      </c>
      <c r="B1352" s="1574"/>
      <c r="C1352" s="1574" t="s">
        <v>2510</v>
      </c>
      <c r="D1352" s="1574"/>
      <c r="E1352" s="1574"/>
      <c r="F1352" s="1574" t="s">
        <v>2511</v>
      </c>
      <c r="G1352" s="1574"/>
      <c r="H1352" s="1574"/>
      <c r="I1352" s="1574"/>
      <c r="J1352" s="1412">
        <v>0</v>
      </c>
      <c r="K1352" s="1412">
        <v>446471</v>
      </c>
      <c r="L1352" s="1412">
        <v>0</v>
      </c>
      <c r="M1352" s="1575">
        <v>0</v>
      </c>
      <c r="N1352" s="1575"/>
      <c r="O1352" s="1575">
        <v>0</v>
      </c>
      <c r="P1352" s="1575"/>
      <c r="Q1352" s="1575">
        <v>446471</v>
      </c>
      <c r="R1352" s="1575"/>
      <c r="S1352" s="1575"/>
      <c r="T1352" s="1575"/>
      <c r="U1352" s="1575"/>
    </row>
    <row r="1353" spans="1:23" ht="19.149999999999999" customHeight="1">
      <c r="A1353" s="1574" t="s">
        <v>345</v>
      </c>
      <c r="B1353" s="1574"/>
      <c r="C1353" s="1574" t="s">
        <v>2512</v>
      </c>
      <c r="D1353" s="1574"/>
      <c r="E1353" s="1574"/>
      <c r="F1353" s="1574" t="s">
        <v>2513</v>
      </c>
      <c r="G1353" s="1574"/>
      <c r="H1353" s="1574"/>
      <c r="I1353" s="1574"/>
      <c r="J1353" s="1412">
        <v>0</v>
      </c>
      <c r="K1353" s="1412">
        <v>330523</v>
      </c>
      <c r="L1353" s="1412">
        <v>0</v>
      </c>
      <c r="M1353" s="1575">
        <v>0</v>
      </c>
      <c r="N1353" s="1575"/>
      <c r="O1353" s="1575">
        <v>0</v>
      </c>
      <c r="P1353" s="1575"/>
      <c r="Q1353" s="1575">
        <v>330523</v>
      </c>
      <c r="R1353" s="1575"/>
      <c r="S1353" s="1575"/>
      <c r="T1353" s="1575"/>
      <c r="U1353" s="1575"/>
    </row>
    <row r="1354" spans="1:23" ht="19.149999999999999" customHeight="1">
      <c r="A1354" s="1574" t="s">
        <v>345</v>
      </c>
      <c r="B1354" s="1574"/>
      <c r="C1354" s="1574" t="s">
        <v>2514</v>
      </c>
      <c r="D1354" s="1574"/>
      <c r="E1354" s="1574"/>
      <c r="F1354" s="1574" t="s">
        <v>2387</v>
      </c>
      <c r="G1354" s="1574"/>
      <c r="H1354" s="1574"/>
      <c r="I1354" s="1574"/>
      <c r="J1354" s="1412">
        <v>0</v>
      </c>
      <c r="K1354" s="1412">
        <v>3414890</v>
      </c>
      <c r="L1354" s="1412">
        <v>0</v>
      </c>
      <c r="M1354" s="1575">
        <v>0</v>
      </c>
      <c r="N1354" s="1575"/>
      <c r="O1354" s="1575">
        <v>0</v>
      </c>
      <c r="P1354" s="1575"/>
      <c r="Q1354" s="1575">
        <v>3414890</v>
      </c>
      <c r="R1354" s="1575"/>
      <c r="S1354" s="1575"/>
      <c r="T1354" s="1575"/>
      <c r="U1354" s="1575"/>
    </row>
    <row r="1355" spans="1:23" ht="19.149999999999999" customHeight="1">
      <c r="A1355" s="1574" t="s">
        <v>345</v>
      </c>
      <c r="B1355" s="1574"/>
      <c r="C1355" s="1574" t="s">
        <v>2515</v>
      </c>
      <c r="D1355" s="1574"/>
      <c r="E1355" s="1574"/>
      <c r="F1355" s="1574" t="s">
        <v>2390</v>
      </c>
      <c r="G1355" s="1574"/>
      <c r="H1355" s="1574"/>
      <c r="I1355" s="1574"/>
      <c r="J1355" s="1412">
        <v>0</v>
      </c>
      <c r="K1355" s="1412">
        <v>479982</v>
      </c>
      <c r="L1355" s="1412">
        <v>0</v>
      </c>
      <c r="M1355" s="1575">
        <v>0</v>
      </c>
      <c r="N1355" s="1575"/>
      <c r="O1355" s="1575">
        <v>0</v>
      </c>
      <c r="P1355" s="1575"/>
      <c r="Q1355" s="1575">
        <v>479982</v>
      </c>
      <c r="R1355" s="1575"/>
      <c r="S1355" s="1575"/>
      <c r="T1355" s="1575"/>
      <c r="U1355" s="1575"/>
    </row>
    <row r="1356" spans="1:23" ht="19.149999999999999" customHeight="1">
      <c r="A1356" s="1574" t="s">
        <v>345</v>
      </c>
      <c r="B1356" s="1574"/>
      <c r="C1356" s="1574" t="s">
        <v>2516</v>
      </c>
      <c r="D1356" s="1574"/>
      <c r="E1356" s="1574"/>
      <c r="F1356" s="1574" t="s">
        <v>2392</v>
      </c>
      <c r="G1356" s="1574"/>
      <c r="H1356" s="1574"/>
      <c r="I1356" s="1574"/>
      <c r="J1356" s="1412">
        <v>0</v>
      </c>
      <c r="K1356" s="1412">
        <v>47429</v>
      </c>
      <c r="L1356" s="1412">
        <v>0</v>
      </c>
      <c r="M1356" s="1575">
        <v>0</v>
      </c>
      <c r="N1356" s="1575"/>
      <c r="O1356" s="1575">
        <v>0</v>
      </c>
      <c r="P1356" s="1575"/>
      <c r="Q1356" s="1575">
        <v>47429</v>
      </c>
      <c r="R1356" s="1575"/>
      <c r="S1356" s="1575"/>
      <c r="T1356" s="1575"/>
      <c r="U1356" s="1575"/>
    </row>
    <row r="1357" spans="1:23" ht="19.149999999999999" customHeight="1">
      <c r="A1357" s="1574" t="s">
        <v>345</v>
      </c>
      <c r="B1357" s="1574"/>
      <c r="C1357" s="1574" t="s">
        <v>2517</v>
      </c>
      <c r="D1357" s="1574"/>
      <c r="E1357" s="1574"/>
      <c r="F1357" s="1574" t="s">
        <v>2394</v>
      </c>
      <c r="G1357" s="1574"/>
      <c r="H1357" s="1574"/>
      <c r="I1357" s="1574"/>
      <c r="J1357" s="1412">
        <v>0</v>
      </c>
      <c r="K1357" s="1412">
        <v>60000</v>
      </c>
      <c r="L1357" s="1412">
        <v>0</v>
      </c>
      <c r="M1357" s="1575">
        <v>0</v>
      </c>
      <c r="N1357" s="1575"/>
      <c r="O1357" s="1575">
        <v>0</v>
      </c>
      <c r="P1357" s="1575"/>
      <c r="Q1357" s="1575">
        <v>60000</v>
      </c>
      <c r="R1357" s="1575"/>
      <c r="S1357" s="1575"/>
      <c r="T1357" s="1575"/>
      <c r="U1357" s="1575"/>
    </row>
    <row r="1358" spans="1:23" ht="19.149999999999999" customHeight="1">
      <c r="A1358" s="1574" t="s">
        <v>345</v>
      </c>
      <c r="B1358" s="1574"/>
      <c r="C1358" s="1574" t="s">
        <v>2518</v>
      </c>
      <c r="D1358" s="1574"/>
      <c r="E1358" s="1574"/>
      <c r="F1358" s="1574" t="s">
        <v>2396</v>
      </c>
      <c r="G1358" s="1574"/>
      <c r="H1358" s="1574"/>
      <c r="I1358" s="1574"/>
      <c r="J1358" s="1412">
        <v>0</v>
      </c>
      <c r="K1358" s="1412">
        <v>580531</v>
      </c>
      <c r="L1358" s="1412">
        <v>0</v>
      </c>
      <c r="M1358" s="1575">
        <v>0</v>
      </c>
      <c r="N1358" s="1575"/>
      <c r="O1358" s="1575">
        <v>0</v>
      </c>
      <c r="P1358" s="1575"/>
      <c r="Q1358" s="1575">
        <v>580531</v>
      </c>
      <c r="R1358" s="1575"/>
      <c r="S1358" s="1575"/>
      <c r="T1358" s="1575"/>
      <c r="U1358" s="1575"/>
    </row>
    <row r="1359" spans="1:23" ht="19.149999999999999" customHeight="1">
      <c r="A1359" s="1574" t="s">
        <v>345</v>
      </c>
      <c r="B1359" s="1574"/>
      <c r="C1359" s="1574" t="s">
        <v>2519</v>
      </c>
      <c r="D1359" s="1574"/>
      <c r="E1359" s="1574"/>
      <c r="F1359" s="1574" t="s">
        <v>2398</v>
      </c>
      <c r="G1359" s="1574"/>
      <c r="H1359" s="1574"/>
      <c r="I1359" s="1574"/>
      <c r="J1359" s="1412">
        <v>0</v>
      </c>
      <c r="K1359" s="1412">
        <v>12650</v>
      </c>
      <c r="L1359" s="1412">
        <v>0</v>
      </c>
      <c r="M1359" s="1575">
        <v>0</v>
      </c>
      <c r="N1359" s="1575"/>
      <c r="O1359" s="1575">
        <v>0</v>
      </c>
      <c r="P1359" s="1575"/>
      <c r="Q1359" s="1575">
        <v>12650</v>
      </c>
      <c r="R1359" s="1575"/>
      <c r="S1359" s="1575"/>
      <c r="T1359" s="1575"/>
      <c r="U1359" s="1575"/>
    </row>
    <row r="1360" spans="1:23" ht="19.149999999999999" customHeight="1">
      <c r="A1360" s="1574" t="s">
        <v>345</v>
      </c>
      <c r="B1360" s="1574"/>
      <c r="C1360" s="1574" t="s">
        <v>2520</v>
      </c>
      <c r="D1360" s="1574"/>
      <c r="E1360" s="1574"/>
      <c r="F1360" s="1574" t="s">
        <v>2400</v>
      </c>
      <c r="G1360" s="1574"/>
      <c r="H1360" s="1574"/>
      <c r="I1360" s="1574"/>
      <c r="J1360" s="1412">
        <v>0</v>
      </c>
      <c r="K1360" s="1412">
        <v>194503</v>
      </c>
      <c r="L1360" s="1412">
        <v>0</v>
      </c>
      <c r="M1360" s="1575">
        <v>0</v>
      </c>
      <c r="N1360" s="1575"/>
      <c r="O1360" s="1575">
        <v>0</v>
      </c>
      <c r="P1360" s="1575"/>
      <c r="Q1360" s="1575">
        <v>194503</v>
      </c>
      <c r="R1360" s="1575"/>
      <c r="S1360" s="1575"/>
      <c r="T1360" s="1575"/>
      <c r="U1360" s="1575"/>
    </row>
    <row r="1361" spans="1:23" ht="19.149999999999999" customHeight="1">
      <c r="A1361" s="1574" t="s">
        <v>345</v>
      </c>
      <c r="B1361" s="1574"/>
      <c r="C1361" s="1574" t="s">
        <v>2521</v>
      </c>
      <c r="D1361" s="1574"/>
      <c r="E1361" s="1574"/>
      <c r="F1361" s="1574" t="s">
        <v>2402</v>
      </c>
      <c r="G1361" s="1574"/>
      <c r="H1361" s="1574"/>
      <c r="I1361" s="1574"/>
      <c r="J1361" s="1412">
        <v>0</v>
      </c>
      <c r="K1361" s="1412">
        <v>158547</v>
      </c>
      <c r="L1361" s="1412">
        <v>0</v>
      </c>
      <c r="M1361" s="1575">
        <v>0</v>
      </c>
      <c r="N1361" s="1575"/>
      <c r="O1361" s="1575">
        <v>0</v>
      </c>
      <c r="P1361" s="1575"/>
      <c r="Q1361" s="1575">
        <v>158547</v>
      </c>
      <c r="R1361" s="1575"/>
      <c r="S1361" s="1575"/>
      <c r="T1361" s="1575"/>
      <c r="U1361" s="1575"/>
    </row>
    <row r="1362" spans="1:23" ht="19.149999999999999" customHeight="1">
      <c r="A1362" s="1574" t="s">
        <v>345</v>
      </c>
      <c r="B1362" s="1574"/>
      <c r="C1362" s="1574" t="s">
        <v>2522</v>
      </c>
      <c r="D1362" s="1574"/>
      <c r="E1362" s="1574"/>
      <c r="F1362" s="1574" t="s">
        <v>2419</v>
      </c>
      <c r="G1362" s="1574"/>
      <c r="H1362" s="1574"/>
      <c r="I1362" s="1574"/>
      <c r="J1362" s="1412">
        <v>0</v>
      </c>
      <c r="K1362" s="1412">
        <v>7430600</v>
      </c>
      <c r="L1362" s="1412">
        <v>0</v>
      </c>
      <c r="M1362" s="1575">
        <v>0</v>
      </c>
      <c r="N1362" s="1575"/>
      <c r="O1362" s="1575">
        <v>0</v>
      </c>
      <c r="P1362" s="1575"/>
      <c r="Q1362" s="1575">
        <v>7430600</v>
      </c>
      <c r="R1362" s="1575"/>
      <c r="S1362" s="1575"/>
      <c r="T1362" s="1575"/>
      <c r="U1362" s="1575"/>
    </row>
    <row r="1363" spans="1:23" ht="19.149999999999999" customHeight="1">
      <c r="A1363" s="1574" t="s">
        <v>345</v>
      </c>
      <c r="B1363" s="1574"/>
      <c r="C1363" s="1574" t="s">
        <v>2523</v>
      </c>
      <c r="D1363" s="1574"/>
      <c r="E1363" s="1574"/>
      <c r="F1363" s="1574" t="s">
        <v>2524</v>
      </c>
      <c r="G1363" s="1574"/>
      <c r="H1363" s="1574"/>
      <c r="I1363" s="1574"/>
      <c r="J1363" s="1412">
        <v>0</v>
      </c>
      <c r="K1363" s="1412">
        <v>720000</v>
      </c>
      <c r="L1363" s="1412">
        <v>0</v>
      </c>
      <c r="M1363" s="1575">
        <v>0</v>
      </c>
      <c r="N1363" s="1575"/>
      <c r="O1363" s="1575">
        <v>0</v>
      </c>
      <c r="P1363" s="1575"/>
      <c r="Q1363" s="1575">
        <v>720000</v>
      </c>
      <c r="R1363" s="1575"/>
      <c r="S1363" s="1575"/>
      <c r="T1363" s="1575"/>
      <c r="U1363" s="1575"/>
    </row>
    <row r="1364" spans="1:23" ht="19.149999999999999" customHeight="1">
      <c r="A1364" s="1574" t="s">
        <v>345</v>
      </c>
      <c r="B1364" s="1574"/>
      <c r="C1364" s="1574" t="s">
        <v>2525</v>
      </c>
      <c r="D1364" s="1574"/>
      <c r="E1364" s="1574"/>
      <c r="F1364" s="1574" t="s">
        <v>2526</v>
      </c>
      <c r="G1364" s="1574"/>
      <c r="H1364" s="1574"/>
      <c r="I1364" s="1574"/>
      <c r="J1364" s="1412">
        <v>0</v>
      </c>
      <c r="K1364" s="1412">
        <v>1408000</v>
      </c>
      <c r="L1364" s="1412">
        <v>0</v>
      </c>
      <c r="M1364" s="1575">
        <v>0</v>
      </c>
      <c r="N1364" s="1575"/>
      <c r="O1364" s="1575">
        <v>0</v>
      </c>
      <c r="P1364" s="1575"/>
      <c r="Q1364" s="1575">
        <v>1408000</v>
      </c>
      <c r="R1364" s="1575"/>
      <c r="S1364" s="1575"/>
      <c r="T1364" s="1575"/>
      <c r="U1364" s="1575"/>
    </row>
    <row r="1365" spans="1:23" ht="19.149999999999999" customHeight="1">
      <c r="A1365" s="1574" t="s">
        <v>345</v>
      </c>
      <c r="B1365" s="1574"/>
      <c r="C1365" s="1574" t="s">
        <v>2527</v>
      </c>
      <c r="D1365" s="1574"/>
      <c r="E1365" s="1574"/>
      <c r="F1365" s="1574" t="s">
        <v>2528</v>
      </c>
      <c r="G1365" s="1574"/>
      <c r="H1365" s="1574"/>
      <c r="I1365" s="1574"/>
      <c r="J1365" s="1412">
        <v>0</v>
      </c>
      <c r="K1365" s="1412">
        <v>2049000</v>
      </c>
      <c r="L1365" s="1412">
        <v>0</v>
      </c>
      <c r="M1365" s="1575">
        <v>0</v>
      </c>
      <c r="N1365" s="1575"/>
      <c r="O1365" s="1575">
        <v>0</v>
      </c>
      <c r="P1365" s="1575"/>
      <c r="Q1365" s="1575">
        <v>2049000</v>
      </c>
      <c r="R1365" s="1575"/>
      <c r="S1365" s="1575"/>
      <c r="T1365" s="1575"/>
      <c r="U1365" s="1575"/>
    </row>
    <row r="1366" spans="1:23" ht="19.149999999999999" customHeight="1">
      <c r="A1366" s="1574" t="s">
        <v>345</v>
      </c>
      <c r="B1366" s="1574"/>
      <c r="C1366" s="1574" t="s">
        <v>2529</v>
      </c>
      <c r="D1366" s="1574"/>
      <c r="E1366" s="1574"/>
      <c r="F1366" s="1574" t="s">
        <v>2530</v>
      </c>
      <c r="G1366" s="1574"/>
      <c r="H1366" s="1574"/>
      <c r="I1366" s="1574"/>
      <c r="J1366" s="1412">
        <v>0</v>
      </c>
      <c r="K1366" s="1412">
        <v>360000</v>
      </c>
      <c r="L1366" s="1412">
        <v>0</v>
      </c>
      <c r="M1366" s="1575">
        <v>0</v>
      </c>
      <c r="N1366" s="1575"/>
      <c r="O1366" s="1575">
        <v>0</v>
      </c>
      <c r="P1366" s="1575"/>
      <c r="Q1366" s="1575">
        <v>360000</v>
      </c>
      <c r="R1366" s="1575"/>
      <c r="S1366" s="1575"/>
      <c r="T1366" s="1575"/>
      <c r="U1366" s="1575"/>
    </row>
    <row r="1367" spans="1:23" ht="10.9" customHeight="1">
      <c r="A1367" s="1574" t="s">
        <v>1322</v>
      </c>
      <c r="B1367" s="1574"/>
      <c r="C1367" s="1574" t="s">
        <v>1691</v>
      </c>
      <c r="D1367" s="1574"/>
      <c r="E1367" s="1574"/>
      <c r="F1367" s="1574" t="s">
        <v>1692</v>
      </c>
      <c r="G1367" s="1574"/>
      <c r="H1367" s="1574"/>
      <c r="I1367" s="1574"/>
      <c r="J1367" s="1412">
        <v>97232047.719999999</v>
      </c>
      <c r="K1367" s="1412">
        <v>0</v>
      </c>
      <c r="L1367" s="1412">
        <v>26112.16</v>
      </c>
      <c r="M1367" s="1575">
        <v>8498363.3300000001</v>
      </c>
      <c r="N1367" s="1575"/>
      <c r="O1367" s="1575">
        <v>88759796.549999997</v>
      </c>
      <c r="P1367" s="1575"/>
      <c r="Q1367" s="1575">
        <v>0</v>
      </c>
      <c r="R1367" s="1575"/>
      <c r="S1367" s="1575"/>
      <c r="T1367" s="1575"/>
      <c r="U1367" s="1575"/>
    </row>
    <row r="1368" spans="1:23" ht="19.149999999999999" customHeight="1">
      <c r="A1368" s="1574" t="s">
        <v>1322</v>
      </c>
      <c r="B1368" s="1574"/>
      <c r="C1368" s="1574" t="s">
        <v>2531</v>
      </c>
      <c r="D1368" s="1574"/>
      <c r="E1368" s="1574"/>
      <c r="F1368" s="1574" t="s">
        <v>2387</v>
      </c>
      <c r="G1368" s="1574"/>
      <c r="H1368" s="1574"/>
      <c r="I1368" s="1574"/>
      <c r="J1368" s="1412">
        <v>332200.89</v>
      </c>
      <c r="K1368" s="1412">
        <v>0</v>
      </c>
      <c r="L1368" s="1412">
        <v>0</v>
      </c>
      <c r="M1368" s="1575">
        <v>46160.4</v>
      </c>
      <c r="N1368" s="1575"/>
      <c r="O1368" s="1575">
        <v>286040.49</v>
      </c>
      <c r="P1368" s="1575"/>
      <c r="Q1368" s="1575">
        <v>0</v>
      </c>
      <c r="R1368" s="1575"/>
      <c r="S1368" s="1575"/>
      <c r="T1368" s="1575"/>
      <c r="U1368" s="1575"/>
    </row>
    <row r="1369" spans="1:23" ht="19.149999999999999" customHeight="1">
      <c r="A1369" s="1574" t="s">
        <v>1322</v>
      </c>
      <c r="B1369" s="1574"/>
      <c r="C1369" s="1574" t="s">
        <v>2532</v>
      </c>
      <c r="D1369" s="1574"/>
      <c r="E1369" s="1574"/>
      <c r="F1369" s="1574" t="s">
        <v>2390</v>
      </c>
      <c r="G1369" s="1574"/>
      <c r="H1369" s="1574"/>
      <c r="I1369" s="1574"/>
      <c r="J1369" s="1412">
        <v>116054</v>
      </c>
      <c r="K1369" s="1412">
        <v>0</v>
      </c>
      <c r="L1369" s="1412">
        <v>0</v>
      </c>
      <c r="M1369" s="1575">
        <v>77857.210000000006</v>
      </c>
      <c r="N1369" s="1575"/>
      <c r="O1369" s="1575">
        <v>38196.79</v>
      </c>
      <c r="P1369" s="1575"/>
      <c r="Q1369" s="1575">
        <v>0</v>
      </c>
      <c r="R1369" s="1575"/>
      <c r="S1369" s="1575"/>
      <c r="T1369" s="1575"/>
      <c r="U1369" s="1575"/>
    </row>
    <row r="1370" spans="1:23" ht="19.149999999999999" customHeight="1">
      <c r="A1370" s="1574" t="s">
        <v>1322</v>
      </c>
      <c r="B1370" s="1574"/>
      <c r="C1370" s="1574" t="s">
        <v>2533</v>
      </c>
      <c r="D1370" s="1574"/>
      <c r="E1370" s="1574"/>
      <c r="F1370" s="1574" t="s">
        <v>2392</v>
      </c>
      <c r="G1370" s="1574"/>
      <c r="H1370" s="1574"/>
      <c r="I1370" s="1574"/>
      <c r="J1370" s="1412">
        <v>7804.47</v>
      </c>
      <c r="K1370" s="1412">
        <v>0</v>
      </c>
      <c r="L1370" s="1412">
        <v>0</v>
      </c>
      <c r="M1370" s="1575">
        <v>3846.7</v>
      </c>
      <c r="N1370" s="1575"/>
      <c r="O1370" s="1575">
        <v>3957.77</v>
      </c>
      <c r="P1370" s="1575"/>
      <c r="Q1370" s="1575">
        <v>0</v>
      </c>
      <c r="R1370" s="1575"/>
      <c r="S1370" s="1575"/>
      <c r="T1370" s="1575"/>
      <c r="U1370" s="1575"/>
    </row>
    <row r="1371" spans="1:23" ht="19.149999999999999" customHeight="1">
      <c r="A1371" s="1574" t="s">
        <v>1322</v>
      </c>
      <c r="B1371" s="1574"/>
      <c r="C1371" s="1574" t="s">
        <v>2534</v>
      </c>
      <c r="D1371" s="1574"/>
      <c r="E1371" s="1574"/>
      <c r="F1371" s="1574" t="s">
        <v>2394</v>
      </c>
      <c r="G1371" s="1574"/>
      <c r="H1371" s="1574"/>
      <c r="I1371" s="1574"/>
      <c r="J1371" s="1412">
        <v>24000</v>
      </c>
      <c r="K1371" s="1412">
        <v>0</v>
      </c>
      <c r="L1371" s="1412">
        <v>0</v>
      </c>
      <c r="M1371" s="1575">
        <v>0</v>
      </c>
      <c r="N1371" s="1575"/>
      <c r="O1371" s="1575">
        <v>24000</v>
      </c>
      <c r="P1371" s="1575"/>
      <c r="Q1371" s="1575">
        <v>0</v>
      </c>
      <c r="R1371" s="1575"/>
      <c r="S1371" s="1575"/>
      <c r="T1371" s="1575"/>
      <c r="U1371" s="1575"/>
    </row>
    <row r="1372" spans="1:23" ht="19.149999999999999" customHeight="1">
      <c r="A1372" s="1574" t="s">
        <v>1322</v>
      </c>
      <c r="B1372" s="1574"/>
      <c r="C1372" s="1574" t="s">
        <v>2535</v>
      </c>
      <c r="D1372" s="1574"/>
      <c r="E1372" s="1574"/>
      <c r="F1372" s="1574" t="s">
        <v>2396</v>
      </c>
      <c r="G1372" s="1574"/>
      <c r="H1372" s="1574"/>
      <c r="I1372" s="1574"/>
      <c r="J1372" s="1412">
        <v>60169.77</v>
      </c>
      <c r="K1372" s="1412">
        <v>0</v>
      </c>
      <c r="L1372" s="1412">
        <v>0</v>
      </c>
      <c r="M1372" s="1575">
        <v>11770.92</v>
      </c>
      <c r="N1372" s="1575"/>
      <c r="O1372" s="1575">
        <v>48398.85</v>
      </c>
      <c r="P1372" s="1575"/>
      <c r="Q1372" s="1575">
        <v>0</v>
      </c>
      <c r="R1372" s="1575"/>
      <c r="S1372" s="1575"/>
      <c r="T1372" s="1575"/>
      <c r="U1372" s="1575"/>
    </row>
    <row r="1373" spans="1:23" ht="19.149999999999999" customHeight="1">
      <c r="A1373" s="1574" t="s">
        <v>1322</v>
      </c>
      <c r="B1373" s="1574"/>
      <c r="C1373" s="1574" t="s">
        <v>2536</v>
      </c>
      <c r="D1373" s="1574"/>
      <c r="E1373" s="1574"/>
      <c r="F1373" s="1574" t="s">
        <v>2398</v>
      </c>
      <c r="G1373" s="1574"/>
      <c r="H1373" s="1574"/>
      <c r="I1373" s="1574"/>
      <c r="J1373" s="1412">
        <v>181.44</v>
      </c>
      <c r="K1373" s="1412">
        <v>0</v>
      </c>
      <c r="L1373" s="1412">
        <v>34.630000000000003</v>
      </c>
      <c r="M1373" s="1575">
        <v>216.07</v>
      </c>
      <c r="N1373" s="1575"/>
      <c r="O1373" s="1575">
        <v>0</v>
      </c>
      <c r="P1373" s="1575"/>
      <c r="Q1373" s="1575">
        <v>0</v>
      </c>
      <c r="R1373" s="1575"/>
      <c r="S1373" s="1575"/>
      <c r="T1373" s="1575"/>
      <c r="U1373" s="1575"/>
    </row>
    <row r="1374" spans="1:23" ht="15.2" customHeight="1"/>
    <row r="1375" spans="1:23" ht="14.1" customHeight="1">
      <c r="S1375" s="1573" t="s">
        <v>5871</v>
      </c>
      <c r="T1375" s="1573"/>
      <c r="U1375" s="1573"/>
      <c r="V1375" s="1573"/>
      <c r="W1375" s="1573"/>
    </row>
    <row r="1376" spans="1:23" ht="7.15" customHeight="1">
      <c r="C1376" s="1586" t="s">
        <v>2987</v>
      </c>
      <c r="D1376" s="1586"/>
      <c r="E1376" s="1586"/>
      <c r="F1376" s="1586"/>
      <c r="G1376" s="1586"/>
      <c r="H1376" s="1586"/>
      <c r="I1376" s="1586"/>
      <c r="J1376" s="1586"/>
      <c r="K1376" s="1586"/>
      <c r="L1376" s="1586"/>
      <c r="M1376" s="1586"/>
      <c r="N1376" s="1586"/>
      <c r="O1376" s="1586"/>
      <c r="P1376" s="1586"/>
      <c r="Q1376" s="1586"/>
      <c r="R1376" s="1586"/>
      <c r="S1376" s="1586"/>
      <c r="T1376" s="1586"/>
    </row>
    <row r="1377" spans="1:23" ht="9.6" customHeight="1">
      <c r="A1377" s="1587"/>
      <c r="B1377" s="1587"/>
      <c r="C1377" s="1587"/>
      <c r="D1377" s="1587"/>
      <c r="E1377" s="1587"/>
      <c r="F1377" s="1587"/>
      <c r="G1377" s="1586"/>
      <c r="H1377" s="1586"/>
      <c r="I1377" s="1586"/>
      <c r="J1377" s="1586"/>
      <c r="K1377" s="1586"/>
      <c r="L1377" s="1586"/>
      <c r="M1377" s="1586"/>
      <c r="N1377" s="1586"/>
      <c r="O1377" s="1586"/>
      <c r="P1377" s="1586"/>
      <c r="Q1377" s="1586"/>
      <c r="R1377" s="1586"/>
      <c r="S1377" s="1586"/>
      <c r="T1377" s="1586"/>
    </row>
    <row r="1378" spans="1:23" ht="13.35" customHeight="1">
      <c r="A1378" s="1587"/>
      <c r="B1378" s="1587"/>
      <c r="C1378" s="1587"/>
      <c r="D1378" s="1587"/>
      <c r="E1378" s="1587"/>
      <c r="F1378" s="1587"/>
      <c r="G1378" s="1588" t="s">
        <v>79</v>
      </c>
      <c r="H1378" s="1588"/>
      <c r="I1378" s="1588"/>
      <c r="J1378" s="1588"/>
      <c r="K1378" s="1588"/>
      <c r="L1378" s="1588"/>
      <c r="M1378" s="1588"/>
      <c r="N1378" s="1588"/>
      <c r="O1378" s="1588"/>
      <c r="P1378" s="1588"/>
      <c r="Q1378" s="1588"/>
      <c r="R1378" s="1588"/>
    </row>
    <row r="1379" spans="1:23" ht="5.25" customHeight="1">
      <c r="A1379" s="1587"/>
      <c r="B1379" s="1587"/>
      <c r="C1379" s="1587"/>
      <c r="D1379" s="1587"/>
      <c r="E1379" s="1587"/>
      <c r="F1379" s="1587"/>
      <c r="G1379" s="1581" t="s">
        <v>7015</v>
      </c>
      <c r="H1379" s="1581"/>
      <c r="I1379" s="1581"/>
      <c r="J1379" s="1581"/>
      <c r="K1379" s="1581"/>
      <c r="L1379" s="1581"/>
      <c r="M1379" s="1581"/>
      <c r="N1379" s="1581"/>
      <c r="O1379" s="1581"/>
      <c r="P1379" s="1581"/>
      <c r="Q1379" s="1581"/>
    </row>
    <row r="1380" spans="1:23" ht="8.1" customHeight="1">
      <c r="B1380" s="1580" t="s">
        <v>1916</v>
      </c>
      <c r="C1380" s="1580"/>
      <c r="D1380" s="1580"/>
      <c r="E1380" s="1580"/>
      <c r="F1380" s="1580"/>
      <c r="G1380" s="1580"/>
      <c r="H1380" s="1581"/>
      <c r="I1380" s="1581"/>
      <c r="J1380" s="1581"/>
      <c r="K1380" s="1581"/>
      <c r="L1380" s="1581"/>
      <c r="M1380" s="1581"/>
      <c r="N1380" s="1582" t="s">
        <v>5619</v>
      </c>
      <c r="O1380" s="1582"/>
      <c r="P1380" s="1582"/>
      <c r="Q1380" s="1582"/>
      <c r="R1380" s="1582"/>
      <c r="S1380" s="1582"/>
      <c r="T1380" s="1583" t="s">
        <v>7016</v>
      </c>
      <c r="U1380" s="1583"/>
      <c r="V1380" s="1583"/>
      <c r="W1380" s="1583"/>
    </row>
    <row r="1381" spans="1:23" ht="6" customHeight="1">
      <c r="B1381" s="1580"/>
      <c r="C1381" s="1580"/>
      <c r="D1381" s="1580"/>
      <c r="E1381" s="1580"/>
      <c r="F1381" s="1580"/>
      <c r="G1381" s="1580"/>
      <c r="H1381" s="1584" t="s">
        <v>7017</v>
      </c>
      <c r="I1381" s="1584"/>
      <c r="J1381" s="1584"/>
      <c r="K1381" s="1584"/>
      <c r="L1381" s="1584"/>
      <c r="M1381" s="1584"/>
      <c r="N1381" s="1582"/>
      <c r="O1381" s="1582"/>
      <c r="P1381" s="1582"/>
      <c r="Q1381" s="1582"/>
      <c r="R1381" s="1582"/>
      <c r="S1381" s="1582"/>
      <c r="T1381" s="1583"/>
      <c r="U1381" s="1583"/>
      <c r="V1381" s="1583"/>
      <c r="W1381" s="1583"/>
    </row>
    <row r="1382" spans="1:23" ht="7.35" customHeight="1">
      <c r="B1382" s="1580" t="s">
        <v>1994</v>
      </c>
      <c r="C1382" s="1580"/>
      <c r="D1382" s="1580"/>
      <c r="E1382" s="1585"/>
      <c r="F1382" s="1585"/>
      <c r="G1382" s="1585"/>
      <c r="H1382" s="1585"/>
      <c r="I1382" s="1585"/>
      <c r="J1382" s="1585"/>
      <c r="K1382" s="1585"/>
      <c r="L1382" s="1585"/>
      <c r="M1382" s="1585"/>
      <c r="N1382" s="1585"/>
      <c r="O1382" s="1585"/>
      <c r="P1382" s="1585"/>
      <c r="Q1382" s="1585"/>
      <c r="R1382" s="1582"/>
      <c r="S1382" s="1582"/>
      <c r="T1382" s="1582" t="s">
        <v>7018</v>
      </c>
      <c r="U1382" s="1582"/>
    </row>
    <row r="1383" spans="1:23" ht="6.75" customHeight="1">
      <c r="E1383" s="1585"/>
      <c r="F1383" s="1585"/>
      <c r="G1383" s="1585"/>
      <c r="H1383" s="1585"/>
      <c r="I1383" s="1585"/>
      <c r="J1383" s="1585"/>
      <c r="K1383" s="1585"/>
      <c r="L1383" s="1585"/>
      <c r="M1383" s="1585"/>
      <c r="N1383" s="1585"/>
      <c r="O1383" s="1585"/>
      <c r="P1383" s="1585"/>
      <c r="Q1383" s="1585"/>
      <c r="R1383" s="1582"/>
      <c r="S1383" s="1582"/>
      <c r="T1383" s="1582"/>
      <c r="U1383" s="1582"/>
    </row>
    <row r="1384" spans="1:23" ht="10.9" customHeight="1">
      <c r="A1384" s="1576"/>
      <c r="B1384" s="1576"/>
      <c r="C1384" s="1576"/>
      <c r="D1384" s="1576"/>
      <c r="E1384" s="1576"/>
      <c r="F1384" s="1576"/>
      <c r="G1384" s="1576"/>
      <c r="H1384" s="1576"/>
      <c r="I1384" s="1576"/>
      <c r="J1384" s="1577" t="s">
        <v>1314</v>
      </c>
      <c r="K1384" s="1577"/>
      <c r="L1384" s="1577" t="s">
        <v>1315</v>
      </c>
      <c r="M1384" s="1577"/>
      <c r="N1384" s="1577"/>
      <c r="O1384" s="1577" t="s">
        <v>1316</v>
      </c>
      <c r="P1384" s="1577"/>
      <c r="Q1384" s="1577"/>
      <c r="R1384" s="1577"/>
      <c r="S1384" s="1577"/>
      <c r="T1384" s="1577"/>
      <c r="U1384" s="1577"/>
    </row>
    <row r="1385" spans="1:23" ht="14.1" customHeight="1">
      <c r="A1385" s="1578" t="s">
        <v>1317</v>
      </c>
      <c r="B1385" s="1578"/>
      <c r="C1385" s="1578" t="s">
        <v>1318</v>
      </c>
      <c r="D1385" s="1578"/>
      <c r="E1385" s="1578"/>
      <c r="F1385" s="1578" t="s">
        <v>1319</v>
      </c>
      <c r="G1385" s="1578"/>
      <c r="H1385" s="1578"/>
      <c r="I1385" s="1578"/>
      <c r="J1385" s="1413" t="s">
        <v>1320</v>
      </c>
      <c r="K1385" s="1413" t="s">
        <v>1321</v>
      </c>
      <c r="L1385" s="1413" t="s">
        <v>1320</v>
      </c>
      <c r="M1385" s="1579" t="s">
        <v>1321</v>
      </c>
      <c r="N1385" s="1579"/>
      <c r="O1385" s="1579" t="s">
        <v>1320</v>
      </c>
      <c r="P1385" s="1579"/>
      <c r="Q1385" s="1579" t="s">
        <v>1321</v>
      </c>
      <c r="R1385" s="1579"/>
      <c r="S1385" s="1579"/>
      <c r="T1385" s="1579"/>
      <c r="U1385" s="1579"/>
    </row>
    <row r="1386" spans="1:23" ht="22.5" customHeight="1">
      <c r="A1386" s="1574" t="s">
        <v>1322</v>
      </c>
      <c r="B1386" s="1574"/>
      <c r="C1386" s="1574" t="s">
        <v>2537</v>
      </c>
      <c r="D1386" s="1574"/>
      <c r="E1386" s="1574"/>
      <c r="F1386" s="1574" t="s">
        <v>2400</v>
      </c>
      <c r="G1386" s="1574"/>
      <c r="H1386" s="1574"/>
      <c r="I1386" s="1574"/>
      <c r="J1386" s="1412">
        <v>25383.7</v>
      </c>
      <c r="K1386" s="1412">
        <v>0</v>
      </c>
      <c r="L1386" s="1412">
        <v>0</v>
      </c>
      <c r="M1386" s="1575">
        <v>0</v>
      </c>
      <c r="N1386" s="1575"/>
      <c r="O1386" s="1575">
        <v>25383.7</v>
      </c>
      <c r="P1386" s="1575"/>
      <c r="Q1386" s="1575">
        <v>0</v>
      </c>
      <c r="R1386" s="1575"/>
      <c r="S1386" s="1575"/>
      <c r="T1386" s="1575"/>
      <c r="U1386" s="1575"/>
    </row>
    <row r="1387" spans="1:23" ht="19.149999999999999" customHeight="1">
      <c r="A1387" s="1574" t="s">
        <v>1322</v>
      </c>
      <c r="B1387" s="1574"/>
      <c r="C1387" s="1574" t="s">
        <v>2538</v>
      </c>
      <c r="D1387" s="1574"/>
      <c r="E1387" s="1574"/>
      <c r="F1387" s="1574" t="s">
        <v>2402</v>
      </c>
      <c r="G1387" s="1574"/>
      <c r="H1387" s="1574"/>
      <c r="I1387" s="1574"/>
      <c r="J1387" s="1412">
        <v>31565.599999999999</v>
      </c>
      <c r="K1387" s="1412">
        <v>0</v>
      </c>
      <c r="L1387" s="1412">
        <v>0</v>
      </c>
      <c r="M1387" s="1575">
        <v>2688.6</v>
      </c>
      <c r="N1387" s="1575"/>
      <c r="O1387" s="1575">
        <v>28877</v>
      </c>
      <c r="P1387" s="1575"/>
      <c r="Q1387" s="1575">
        <v>0</v>
      </c>
      <c r="R1387" s="1575"/>
      <c r="S1387" s="1575"/>
      <c r="T1387" s="1575"/>
      <c r="U1387" s="1575"/>
    </row>
    <row r="1388" spans="1:23" ht="19.149999999999999" customHeight="1">
      <c r="A1388" s="1574" t="s">
        <v>1322</v>
      </c>
      <c r="B1388" s="1574"/>
      <c r="C1388" s="1574" t="s">
        <v>2539</v>
      </c>
      <c r="D1388" s="1574"/>
      <c r="E1388" s="1574"/>
      <c r="F1388" s="1574" t="s">
        <v>2404</v>
      </c>
      <c r="G1388" s="1574"/>
      <c r="H1388" s="1574"/>
      <c r="I1388" s="1574"/>
      <c r="J1388" s="1412">
        <v>594722.52</v>
      </c>
      <c r="K1388" s="1412">
        <v>0</v>
      </c>
      <c r="L1388" s="1412">
        <v>0</v>
      </c>
      <c r="M1388" s="1575">
        <v>309570.68</v>
      </c>
      <c r="N1388" s="1575"/>
      <c r="O1388" s="1575">
        <v>285151.84000000003</v>
      </c>
      <c r="P1388" s="1575"/>
      <c r="Q1388" s="1575">
        <v>0</v>
      </c>
      <c r="R1388" s="1575"/>
      <c r="S1388" s="1575"/>
      <c r="T1388" s="1575"/>
      <c r="U1388" s="1575"/>
    </row>
    <row r="1389" spans="1:23" ht="19.149999999999999" customHeight="1">
      <c r="A1389" s="1574" t="s">
        <v>1322</v>
      </c>
      <c r="B1389" s="1574"/>
      <c r="C1389" s="1574" t="s">
        <v>2540</v>
      </c>
      <c r="D1389" s="1574"/>
      <c r="E1389" s="1574"/>
      <c r="F1389" s="1574" t="s">
        <v>2404</v>
      </c>
      <c r="G1389" s="1574"/>
      <c r="H1389" s="1574"/>
      <c r="I1389" s="1574"/>
      <c r="J1389" s="1412">
        <v>105999.62</v>
      </c>
      <c r="K1389" s="1412">
        <v>0</v>
      </c>
      <c r="L1389" s="1412">
        <v>0</v>
      </c>
      <c r="M1389" s="1575">
        <v>105454.58</v>
      </c>
      <c r="N1389" s="1575"/>
      <c r="O1389" s="1575">
        <v>545.04</v>
      </c>
      <c r="P1389" s="1575"/>
      <c r="Q1389" s="1575">
        <v>0</v>
      </c>
      <c r="R1389" s="1575"/>
      <c r="S1389" s="1575"/>
      <c r="T1389" s="1575"/>
      <c r="U1389" s="1575"/>
    </row>
    <row r="1390" spans="1:23" ht="19.149999999999999" customHeight="1">
      <c r="A1390" s="1574" t="s">
        <v>1322</v>
      </c>
      <c r="B1390" s="1574"/>
      <c r="C1390" s="1574" t="s">
        <v>2541</v>
      </c>
      <c r="D1390" s="1574"/>
      <c r="E1390" s="1574"/>
      <c r="F1390" s="1574" t="s">
        <v>2404</v>
      </c>
      <c r="G1390" s="1574"/>
      <c r="H1390" s="1574"/>
      <c r="I1390" s="1574"/>
      <c r="J1390" s="1412">
        <v>160000</v>
      </c>
      <c r="K1390" s="1412">
        <v>0</v>
      </c>
      <c r="L1390" s="1412">
        <v>0</v>
      </c>
      <c r="M1390" s="1575">
        <v>78500</v>
      </c>
      <c r="N1390" s="1575"/>
      <c r="O1390" s="1575">
        <v>81500</v>
      </c>
      <c r="P1390" s="1575"/>
      <c r="Q1390" s="1575">
        <v>0</v>
      </c>
      <c r="R1390" s="1575"/>
      <c r="S1390" s="1575"/>
      <c r="T1390" s="1575"/>
      <c r="U1390" s="1575"/>
    </row>
    <row r="1391" spans="1:23" ht="19.149999999999999" customHeight="1">
      <c r="A1391" s="1574" t="s">
        <v>1322</v>
      </c>
      <c r="B1391" s="1574"/>
      <c r="C1391" s="1574" t="s">
        <v>6326</v>
      </c>
      <c r="D1391" s="1574"/>
      <c r="E1391" s="1574"/>
      <c r="F1391" s="1574" t="s">
        <v>2404</v>
      </c>
      <c r="G1391" s="1574"/>
      <c r="H1391" s="1574"/>
      <c r="I1391" s="1574"/>
      <c r="J1391" s="1412">
        <v>280000</v>
      </c>
      <c r="K1391" s="1412">
        <v>0</v>
      </c>
      <c r="L1391" s="1412">
        <v>0</v>
      </c>
      <c r="M1391" s="1575">
        <v>40000</v>
      </c>
      <c r="N1391" s="1575"/>
      <c r="O1391" s="1575">
        <v>240000</v>
      </c>
      <c r="P1391" s="1575"/>
      <c r="Q1391" s="1575">
        <v>0</v>
      </c>
      <c r="R1391" s="1575"/>
      <c r="S1391" s="1575"/>
      <c r="T1391" s="1575"/>
      <c r="U1391" s="1575"/>
    </row>
    <row r="1392" spans="1:23" ht="19.149999999999999" customHeight="1">
      <c r="A1392" s="1574" t="s">
        <v>1322</v>
      </c>
      <c r="B1392" s="1574"/>
      <c r="C1392" s="1574" t="s">
        <v>2542</v>
      </c>
      <c r="D1392" s="1574"/>
      <c r="E1392" s="1574"/>
      <c r="F1392" s="1574" t="s">
        <v>2387</v>
      </c>
      <c r="G1392" s="1574"/>
      <c r="H1392" s="1574"/>
      <c r="I1392" s="1574"/>
      <c r="J1392" s="1412">
        <v>591776.73</v>
      </c>
      <c r="K1392" s="1412">
        <v>0</v>
      </c>
      <c r="L1392" s="1412">
        <v>0</v>
      </c>
      <c r="M1392" s="1575">
        <v>192586.2</v>
      </c>
      <c r="N1392" s="1575"/>
      <c r="O1392" s="1575">
        <v>399190.53</v>
      </c>
      <c r="P1392" s="1575"/>
      <c r="Q1392" s="1575">
        <v>0</v>
      </c>
      <c r="R1392" s="1575"/>
      <c r="S1392" s="1575"/>
      <c r="T1392" s="1575"/>
      <c r="U1392" s="1575"/>
    </row>
    <row r="1393" spans="1:21" ht="19.149999999999999" customHeight="1">
      <c r="A1393" s="1574" t="s">
        <v>1322</v>
      </c>
      <c r="B1393" s="1574"/>
      <c r="C1393" s="1574" t="s">
        <v>2543</v>
      </c>
      <c r="D1393" s="1574"/>
      <c r="E1393" s="1574"/>
      <c r="F1393" s="1574" t="s">
        <v>2390</v>
      </c>
      <c r="G1393" s="1574"/>
      <c r="H1393" s="1574"/>
      <c r="I1393" s="1574"/>
      <c r="J1393" s="1412">
        <v>382564.59</v>
      </c>
      <c r="K1393" s="1412">
        <v>0</v>
      </c>
      <c r="L1393" s="1412">
        <v>0</v>
      </c>
      <c r="M1393" s="1575">
        <v>324828.71999999997</v>
      </c>
      <c r="N1393" s="1575"/>
      <c r="O1393" s="1575">
        <v>57735.87</v>
      </c>
      <c r="P1393" s="1575"/>
      <c r="Q1393" s="1575">
        <v>0</v>
      </c>
      <c r="R1393" s="1575"/>
      <c r="S1393" s="1575"/>
      <c r="T1393" s="1575"/>
      <c r="U1393" s="1575"/>
    </row>
    <row r="1394" spans="1:21" ht="19.149999999999999" customHeight="1">
      <c r="A1394" s="1574" t="s">
        <v>1322</v>
      </c>
      <c r="B1394" s="1574"/>
      <c r="C1394" s="1574" t="s">
        <v>2544</v>
      </c>
      <c r="D1394" s="1574"/>
      <c r="E1394" s="1574"/>
      <c r="F1394" s="1574" t="s">
        <v>2392</v>
      </c>
      <c r="G1394" s="1574"/>
      <c r="H1394" s="1574"/>
      <c r="I1394" s="1574"/>
      <c r="J1394" s="1412">
        <v>3777.21</v>
      </c>
      <c r="K1394" s="1412">
        <v>0</v>
      </c>
      <c r="L1394" s="1412">
        <v>12271.65</v>
      </c>
      <c r="M1394" s="1575">
        <v>16048.86</v>
      </c>
      <c r="N1394" s="1575"/>
      <c r="O1394" s="1575">
        <v>0</v>
      </c>
      <c r="P1394" s="1575"/>
      <c r="Q1394" s="1575">
        <v>0</v>
      </c>
      <c r="R1394" s="1575"/>
      <c r="S1394" s="1575"/>
      <c r="T1394" s="1575"/>
      <c r="U1394" s="1575"/>
    </row>
    <row r="1395" spans="1:21" ht="19.149999999999999" customHeight="1">
      <c r="A1395" s="1574" t="s">
        <v>1322</v>
      </c>
      <c r="B1395" s="1574"/>
      <c r="C1395" s="1574" t="s">
        <v>2545</v>
      </c>
      <c r="D1395" s="1574"/>
      <c r="E1395" s="1574"/>
      <c r="F1395" s="1574" t="s">
        <v>2394</v>
      </c>
      <c r="G1395" s="1574"/>
      <c r="H1395" s="1574"/>
      <c r="I1395" s="1574"/>
      <c r="J1395" s="1412">
        <v>84000</v>
      </c>
      <c r="K1395" s="1412">
        <v>0</v>
      </c>
      <c r="L1395" s="1412">
        <v>0</v>
      </c>
      <c r="M1395" s="1575">
        <v>0</v>
      </c>
      <c r="N1395" s="1575"/>
      <c r="O1395" s="1575">
        <v>84000</v>
      </c>
      <c r="P1395" s="1575"/>
      <c r="Q1395" s="1575">
        <v>0</v>
      </c>
      <c r="R1395" s="1575"/>
      <c r="S1395" s="1575"/>
      <c r="T1395" s="1575"/>
      <c r="U1395" s="1575"/>
    </row>
    <row r="1396" spans="1:21" ht="19.149999999999999" customHeight="1">
      <c r="A1396" s="1574" t="s">
        <v>1322</v>
      </c>
      <c r="B1396" s="1574"/>
      <c r="C1396" s="1574" t="s">
        <v>2546</v>
      </c>
      <c r="D1396" s="1574"/>
      <c r="E1396" s="1574"/>
      <c r="F1396" s="1574" t="s">
        <v>2396</v>
      </c>
      <c r="G1396" s="1574"/>
      <c r="H1396" s="1574"/>
      <c r="I1396" s="1574"/>
      <c r="J1396" s="1412">
        <v>117817.61</v>
      </c>
      <c r="K1396" s="1412">
        <v>0</v>
      </c>
      <c r="L1396" s="1412">
        <v>0</v>
      </c>
      <c r="M1396" s="1575">
        <v>49109.52</v>
      </c>
      <c r="N1396" s="1575"/>
      <c r="O1396" s="1575">
        <v>68708.09</v>
      </c>
      <c r="P1396" s="1575"/>
      <c r="Q1396" s="1575">
        <v>0</v>
      </c>
      <c r="R1396" s="1575"/>
      <c r="S1396" s="1575"/>
      <c r="T1396" s="1575"/>
      <c r="U1396" s="1575"/>
    </row>
    <row r="1397" spans="1:21" ht="19.149999999999999" customHeight="1">
      <c r="A1397" s="1574" t="s">
        <v>1322</v>
      </c>
      <c r="B1397" s="1574"/>
      <c r="C1397" s="1574" t="s">
        <v>2547</v>
      </c>
      <c r="D1397" s="1574"/>
      <c r="E1397" s="1574"/>
      <c r="F1397" s="1574" t="s">
        <v>2398</v>
      </c>
      <c r="G1397" s="1574"/>
      <c r="H1397" s="1574"/>
      <c r="I1397" s="1574"/>
      <c r="J1397" s="1412">
        <v>12160.53</v>
      </c>
      <c r="K1397" s="1412">
        <v>0</v>
      </c>
      <c r="L1397" s="1412">
        <v>0</v>
      </c>
      <c r="M1397" s="1575">
        <v>12160.53</v>
      </c>
      <c r="N1397" s="1575"/>
      <c r="O1397" s="1575">
        <v>0</v>
      </c>
      <c r="P1397" s="1575"/>
      <c r="Q1397" s="1575">
        <v>0</v>
      </c>
      <c r="R1397" s="1575"/>
      <c r="S1397" s="1575"/>
      <c r="T1397" s="1575"/>
      <c r="U1397" s="1575"/>
    </row>
    <row r="1398" spans="1:21" ht="19.149999999999999" customHeight="1">
      <c r="A1398" s="1574" t="s">
        <v>1322</v>
      </c>
      <c r="B1398" s="1574"/>
      <c r="C1398" s="1574" t="s">
        <v>2548</v>
      </c>
      <c r="D1398" s="1574"/>
      <c r="E1398" s="1574"/>
      <c r="F1398" s="1574" t="s">
        <v>2400</v>
      </c>
      <c r="G1398" s="1574"/>
      <c r="H1398" s="1574"/>
      <c r="I1398" s="1574"/>
      <c r="J1398" s="1412">
        <v>30772.560000000001</v>
      </c>
      <c r="K1398" s="1412">
        <v>0</v>
      </c>
      <c r="L1398" s="1412">
        <v>0</v>
      </c>
      <c r="M1398" s="1575">
        <v>0</v>
      </c>
      <c r="N1398" s="1575"/>
      <c r="O1398" s="1575">
        <v>30772.560000000001</v>
      </c>
      <c r="P1398" s="1575"/>
      <c r="Q1398" s="1575">
        <v>0</v>
      </c>
      <c r="R1398" s="1575"/>
      <c r="S1398" s="1575"/>
      <c r="T1398" s="1575"/>
      <c r="U1398" s="1575"/>
    </row>
    <row r="1399" spans="1:21" ht="19.149999999999999" customHeight="1">
      <c r="A1399" s="1574" t="s">
        <v>1322</v>
      </c>
      <c r="B1399" s="1574"/>
      <c r="C1399" s="1574" t="s">
        <v>2549</v>
      </c>
      <c r="D1399" s="1574"/>
      <c r="E1399" s="1574"/>
      <c r="F1399" s="1574" t="s">
        <v>2402</v>
      </c>
      <c r="G1399" s="1574"/>
      <c r="H1399" s="1574"/>
      <c r="I1399" s="1574"/>
      <c r="J1399" s="1412">
        <v>42939.45</v>
      </c>
      <c r="K1399" s="1412">
        <v>0</v>
      </c>
      <c r="L1399" s="1412">
        <v>0</v>
      </c>
      <c r="M1399" s="1575">
        <v>13443</v>
      </c>
      <c r="N1399" s="1575"/>
      <c r="O1399" s="1575">
        <v>29496.45</v>
      </c>
      <c r="P1399" s="1575"/>
      <c r="Q1399" s="1575">
        <v>0</v>
      </c>
      <c r="R1399" s="1575"/>
      <c r="S1399" s="1575"/>
      <c r="T1399" s="1575"/>
      <c r="U1399" s="1575"/>
    </row>
    <row r="1400" spans="1:21" ht="19.149999999999999" customHeight="1">
      <c r="A1400" s="1574" t="s">
        <v>1322</v>
      </c>
      <c r="B1400" s="1574"/>
      <c r="C1400" s="1574" t="s">
        <v>2550</v>
      </c>
      <c r="D1400" s="1574"/>
      <c r="E1400" s="1574"/>
      <c r="F1400" s="1574" t="s">
        <v>2416</v>
      </c>
      <c r="G1400" s="1574"/>
      <c r="H1400" s="1574"/>
      <c r="I1400" s="1574"/>
      <c r="J1400" s="1412">
        <v>696156.98</v>
      </c>
      <c r="K1400" s="1412">
        <v>0</v>
      </c>
      <c r="L1400" s="1412">
        <v>0</v>
      </c>
      <c r="M1400" s="1575">
        <v>14945.12</v>
      </c>
      <c r="N1400" s="1575"/>
      <c r="O1400" s="1575">
        <v>681211.86</v>
      </c>
      <c r="P1400" s="1575"/>
      <c r="Q1400" s="1575">
        <v>0</v>
      </c>
      <c r="R1400" s="1575"/>
      <c r="S1400" s="1575"/>
      <c r="T1400" s="1575"/>
      <c r="U1400" s="1575"/>
    </row>
    <row r="1401" spans="1:21" ht="19.149999999999999" customHeight="1">
      <c r="A1401" s="1574" t="s">
        <v>1322</v>
      </c>
      <c r="B1401" s="1574"/>
      <c r="C1401" s="1574" t="s">
        <v>2551</v>
      </c>
      <c r="D1401" s="1574"/>
      <c r="E1401" s="1574"/>
      <c r="F1401" s="1574" t="s">
        <v>2418</v>
      </c>
      <c r="G1401" s="1574"/>
      <c r="H1401" s="1574"/>
      <c r="I1401" s="1574"/>
      <c r="J1401" s="1412">
        <v>2278761.58</v>
      </c>
      <c r="K1401" s="1412">
        <v>0</v>
      </c>
      <c r="L1401" s="1412">
        <v>0</v>
      </c>
      <c r="M1401" s="1575">
        <v>683469.02</v>
      </c>
      <c r="N1401" s="1575"/>
      <c r="O1401" s="1575">
        <v>1595292.56</v>
      </c>
      <c r="P1401" s="1575"/>
      <c r="Q1401" s="1575">
        <v>0</v>
      </c>
      <c r="R1401" s="1575"/>
      <c r="S1401" s="1575"/>
      <c r="T1401" s="1575"/>
      <c r="U1401" s="1575"/>
    </row>
    <row r="1402" spans="1:21" ht="19.149999999999999" customHeight="1">
      <c r="A1402" s="1574" t="s">
        <v>1322</v>
      </c>
      <c r="B1402" s="1574"/>
      <c r="C1402" s="1574" t="s">
        <v>2552</v>
      </c>
      <c r="D1402" s="1574"/>
      <c r="E1402" s="1574"/>
      <c r="F1402" s="1574" t="s">
        <v>2421</v>
      </c>
      <c r="G1402" s="1574"/>
      <c r="H1402" s="1574"/>
      <c r="I1402" s="1574"/>
      <c r="J1402" s="1412">
        <v>140424.97</v>
      </c>
      <c r="K1402" s="1412">
        <v>0</v>
      </c>
      <c r="L1402" s="1412">
        <v>0</v>
      </c>
      <c r="M1402" s="1575">
        <v>11675.65</v>
      </c>
      <c r="N1402" s="1575"/>
      <c r="O1402" s="1575">
        <v>128749.32</v>
      </c>
      <c r="P1402" s="1575"/>
      <c r="Q1402" s="1575">
        <v>0</v>
      </c>
      <c r="R1402" s="1575"/>
      <c r="S1402" s="1575"/>
      <c r="T1402" s="1575"/>
      <c r="U1402" s="1575"/>
    </row>
    <row r="1403" spans="1:21" ht="19.149999999999999" customHeight="1">
      <c r="A1403" s="1574" t="s">
        <v>1322</v>
      </c>
      <c r="B1403" s="1574"/>
      <c r="C1403" s="1574" t="s">
        <v>2553</v>
      </c>
      <c r="D1403" s="1574"/>
      <c r="E1403" s="1574"/>
      <c r="F1403" s="1574" t="s">
        <v>2423</v>
      </c>
      <c r="G1403" s="1574"/>
      <c r="H1403" s="1574"/>
      <c r="I1403" s="1574"/>
      <c r="J1403" s="1412">
        <v>1383800.83</v>
      </c>
      <c r="K1403" s="1412">
        <v>0</v>
      </c>
      <c r="L1403" s="1412">
        <v>0</v>
      </c>
      <c r="M1403" s="1575">
        <v>612855.88</v>
      </c>
      <c r="N1403" s="1575"/>
      <c r="O1403" s="1575">
        <v>770944.95</v>
      </c>
      <c r="P1403" s="1575"/>
      <c r="Q1403" s="1575">
        <v>0</v>
      </c>
      <c r="R1403" s="1575"/>
      <c r="S1403" s="1575"/>
      <c r="T1403" s="1575"/>
      <c r="U1403" s="1575"/>
    </row>
    <row r="1404" spans="1:21" ht="19.149999999999999" customHeight="1">
      <c r="A1404" s="1574" t="s">
        <v>1322</v>
      </c>
      <c r="B1404" s="1574"/>
      <c r="C1404" s="1574" t="s">
        <v>3281</v>
      </c>
      <c r="D1404" s="1574"/>
      <c r="E1404" s="1574"/>
      <c r="F1404" s="1574" t="s">
        <v>2416</v>
      </c>
      <c r="G1404" s="1574"/>
      <c r="H1404" s="1574"/>
      <c r="I1404" s="1574"/>
      <c r="J1404" s="1412">
        <v>26674</v>
      </c>
      <c r="K1404" s="1412">
        <v>0</v>
      </c>
      <c r="L1404" s="1412">
        <v>0</v>
      </c>
      <c r="M1404" s="1575">
        <v>14800</v>
      </c>
      <c r="N1404" s="1575"/>
      <c r="O1404" s="1575">
        <v>11874</v>
      </c>
      <c r="P1404" s="1575"/>
      <c r="Q1404" s="1575">
        <v>0</v>
      </c>
      <c r="R1404" s="1575"/>
      <c r="S1404" s="1575"/>
      <c r="T1404" s="1575"/>
      <c r="U1404" s="1575"/>
    </row>
    <row r="1405" spans="1:21" ht="19.149999999999999" customHeight="1">
      <c r="A1405" s="1574" t="s">
        <v>1322</v>
      </c>
      <c r="B1405" s="1574"/>
      <c r="C1405" s="1574" t="s">
        <v>2554</v>
      </c>
      <c r="D1405" s="1574"/>
      <c r="E1405" s="1574"/>
      <c r="F1405" s="1574" t="s">
        <v>2418</v>
      </c>
      <c r="G1405" s="1574"/>
      <c r="H1405" s="1574"/>
      <c r="I1405" s="1574"/>
      <c r="J1405" s="1412">
        <v>504473.65</v>
      </c>
      <c r="K1405" s="1412">
        <v>0</v>
      </c>
      <c r="L1405" s="1412">
        <v>0</v>
      </c>
      <c r="M1405" s="1575">
        <v>250888.94</v>
      </c>
      <c r="N1405" s="1575"/>
      <c r="O1405" s="1575">
        <v>253584.71</v>
      </c>
      <c r="P1405" s="1575"/>
      <c r="Q1405" s="1575">
        <v>0</v>
      </c>
      <c r="R1405" s="1575"/>
      <c r="S1405" s="1575"/>
      <c r="T1405" s="1575"/>
      <c r="U1405" s="1575"/>
    </row>
    <row r="1406" spans="1:21" ht="19.149999999999999" customHeight="1">
      <c r="A1406" s="1574" t="s">
        <v>1322</v>
      </c>
      <c r="B1406" s="1574"/>
      <c r="C1406" s="1574" t="s">
        <v>2556</v>
      </c>
      <c r="D1406" s="1574"/>
      <c r="E1406" s="1574"/>
      <c r="F1406" s="1574" t="s">
        <v>2423</v>
      </c>
      <c r="G1406" s="1574"/>
      <c r="H1406" s="1574"/>
      <c r="I1406" s="1574"/>
      <c r="J1406" s="1412">
        <v>1599749.97</v>
      </c>
      <c r="K1406" s="1412">
        <v>0</v>
      </c>
      <c r="L1406" s="1412">
        <v>0</v>
      </c>
      <c r="M1406" s="1575">
        <v>316981.88</v>
      </c>
      <c r="N1406" s="1575"/>
      <c r="O1406" s="1575">
        <v>1282768.0900000001</v>
      </c>
      <c r="P1406" s="1575"/>
      <c r="Q1406" s="1575">
        <v>0</v>
      </c>
      <c r="R1406" s="1575"/>
      <c r="S1406" s="1575"/>
      <c r="T1406" s="1575"/>
      <c r="U1406" s="1575"/>
    </row>
    <row r="1407" spans="1:21" ht="19.149999999999999" customHeight="1">
      <c r="A1407" s="1574" t="s">
        <v>1322</v>
      </c>
      <c r="B1407" s="1574"/>
      <c r="C1407" s="1574" t="s">
        <v>3282</v>
      </c>
      <c r="D1407" s="1574"/>
      <c r="E1407" s="1574"/>
      <c r="F1407" s="1574" t="s">
        <v>2416</v>
      </c>
      <c r="G1407" s="1574"/>
      <c r="H1407" s="1574"/>
      <c r="I1407" s="1574"/>
      <c r="J1407" s="1412">
        <v>86846</v>
      </c>
      <c r="K1407" s="1412">
        <v>0</v>
      </c>
      <c r="L1407" s="1412">
        <v>0</v>
      </c>
      <c r="M1407" s="1575">
        <v>4400</v>
      </c>
      <c r="N1407" s="1575"/>
      <c r="O1407" s="1575">
        <v>82446</v>
      </c>
      <c r="P1407" s="1575"/>
      <c r="Q1407" s="1575">
        <v>0</v>
      </c>
      <c r="R1407" s="1575"/>
      <c r="S1407" s="1575"/>
      <c r="T1407" s="1575"/>
      <c r="U1407" s="1575"/>
    </row>
    <row r="1408" spans="1:21" ht="19.149999999999999" customHeight="1">
      <c r="A1408" s="1574" t="s">
        <v>1322</v>
      </c>
      <c r="B1408" s="1574"/>
      <c r="C1408" s="1574" t="s">
        <v>2557</v>
      </c>
      <c r="D1408" s="1574"/>
      <c r="E1408" s="1574"/>
      <c r="F1408" s="1574" t="s">
        <v>2418</v>
      </c>
      <c r="G1408" s="1574"/>
      <c r="H1408" s="1574"/>
      <c r="I1408" s="1574"/>
      <c r="J1408" s="1412">
        <v>724578.92</v>
      </c>
      <c r="K1408" s="1412">
        <v>0</v>
      </c>
      <c r="L1408" s="1412">
        <v>0</v>
      </c>
      <c r="M1408" s="1575">
        <v>29577.66</v>
      </c>
      <c r="N1408" s="1575"/>
      <c r="O1408" s="1575">
        <v>695001.26</v>
      </c>
      <c r="P1408" s="1575"/>
      <c r="Q1408" s="1575">
        <v>0</v>
      </c>
      <c r="R1408" s="1575"/>
      <c r="S1408" s="1575"/>
      <c r="T1408" s="1575"/>
      <c r="U1408" s="1575"/>
    </row>
    <row r="1409" spans="1:23" ht="6.95" customHeight="1"/>
    <row r="1410" spans="1:23" ht="14.1" customHeight="1">
      <c r="S1410" s="1573" t="s">
        <v>5873</v>
      </c>
      <c r="T1410" s="1573"/>
      <c r="U1410" s="1573"/>
      <c r="V1410" s="1573"/>
      <c r="W1410" s="1573"/>
    </row>
    <row r="1411" spans="1:23" ht="7.15" customHeight="1">
      <c r="C1411" s="1586" t="s">
        <v>2987</v>
      </c>
      <c r="D1411" s="1586"/>
      <c r="E1411" s="1586"/>
      <c r="F1411" s="1586"/>
      <c r="G1411" s="1586"/>
      <c r="H1411" s="1586"/>
      <c r="I1411" s="1586"/>
      <c r="J1411" s="1586"/>
      <c r="K1411" s="1586"/>
      <c r="L1411" s="1586"/>
      <c r="M1411" s="1586"/>
      <c r="N1411" s="1586"/>
      <c r="O1411" s="1586"/>
      <c r="P1411" s="1586"/>
      <c r="Q1411" s="1586"/>
      <c r="R1411" s="1586"/>
      <c r="S1411" s="1586"/>
      <c r="T1411" s="1586"/>
    </row>
    <row r="1412" spans="1:23" ht="9.6" customHeight="1">
      <c r="A1412" s="1587"/>
      <c r="B1412" s="1587"/>
      <c r="C1412" s="1587"/>
      <c r="D1412" s="1587"/>
      <c r="E1412" s="1587"/>
      <c r="F1412" s="1587"/>
      <c r="G1412" s="1586"/>
      <c r="H1412" s="1586"/>
      <c r="I1412" s="1586"/>
      <c r="J1412" s="1586"/>
      <c r="K1412" s="1586"/>
      <c r="L1412" s="1586"/>
      <c r="M1412" s="1586"/>
      <c r="N1412" s="1586"/>
      <c r="O1412" s="1586"/>
      <c r="P1412" s="1586"/>
      <c r="Q1412" s="1586"/>
      <c r="R1412" s="1586"/>
      <c r="S1412" s="1586"/>
      <c r="T1412" s="1586"/>
    </row>
    <row r="1413" spans="1:23" ht="13.35" customHeight="1">
      <c r="A1413" s="1587"/>
      <c r="B1413" s="1587"/>
      <c r="C1413" s="1587"/>
      <c r="D1413" s="1587"/>
      <c r="E1413" s="1587"/>
      <c r="F1413" s="1587"/>
      <c r="G1413" s="1588" t="s">
        <v>79</v>
      </c>
      <c r="H1413" s="1588"/>
      <c r="I1413" s="1588"/>
      <c r="J1413" s="1588"/>
      <c r="K1413" s="1588"/>
      <c r="L1413" s="1588"/>
      <c r="M1413" s="1588"/>
      <c r="N1413" s="1588"/>
      <c r="O1413" s="1588"/>
      <c r="P1413" s="1588"/>
      <c r="Q1413" s="1588"/>
      <c r="R1413" s="1588"/>
    </row>
    <row r="1414" spans="1:23" ht="5.25" customHeight="1">
      <c r="A1414" s="1587"/>
      <c r="B1414" s="1587"/>
      <c r="C1414" s="1587"/>
      <c r="D1414" s="1587"/>
      <c r="E1414" s="1587"/>
      <c r="F1414" s="1587"/>
      <c r="G1414" s="1581" t="s">
        <v>7015</v>
      </c>
      <c r="H1414" s="1581"/>
      <c r="I1414" s="1581"/>
      <c r="J1414" s="1581"/>
      <c r="K1414" s="1581"/>
      <c r="L1414" s="1581"/>
      <c r="M1414" s="1581"/>
      <c r="N1414" s="1581"/>
      <c r="O1414" s="1581"/>
      <c r="P1414" s="1581"/>
      <c r="Q1414" s="1581"/>
    </row>
    <row r="1415" spans="1:23" ht="8.1" customHeight="1">
      <c r="B1415" s="1580" t="s">
        <v>1916</v>
      </c>
      <c r="C1415" s="1580"/>
      <c r="D1415" s="1580"/>
      <c r="E1415" s="1580"/>
      <c r="F1415" s="1580"/>
      <c r="G1415" s="1580"/>
      <c r="H1415" s="1581"/>
      <c r="I1415" s="1581"/>
      <c r="J1415" s="1581"/>
      <c r="K1415" s="1581"/>
      <c r="L1415" s="1581"/>
      <c r="M1415" s="1581"/>
      <c r="N1415" s="1582" t="s">
        <v>5619</v>
      </c>
      <c r="O1415" s="1582"/>
      <c r="P1415" s="1582"/>
      <c r="Q1415" s="1582"/>
      <c r="R1415" s="1582"/>
      <c r="S1415" s="1582"/>
      <c r="T1415" s="1583" t="s">
        <v>7016</v>
      </c>
      <c r="U1415" s="1583"/>
      <c r="V1415" s="1583"/>
      <c r="W1415" s="1583"/>
    </row>
    <row r="1416" spans="1:23" ht="6" customHeight="1">
      <c r="B1416" s="1580"/>
      <c r="C1416" s="1580"/>
      <c r="D1416" s="1580"/>
      <c r="E1416" s="1580"/>
      <c r="F1416" s="1580"/>
      <c r="G1416" s="1580"/>
      <c r="H1416" s="1584" t="s">
        <v>7017</v>
      </c>
      <c r="I1416" s="1584"/>
      <c r="J1416" s="1584"/>
      <c r="K1416" s="1584"/>
      <c r="L1416" s="1584"/>
      <c r="M1416" s="1584"/>
      <c r="N1416" s="1582"/>
      <c r="O1416" s="1582"/>
      <c r="P1416" s="1582"/>
      <c r="Q1416" s="1582"/>
      <c r="R1416" s="1582"/>
      <c r="S1416" s="1582"/>
      <c r="T1416" s="1583"/>
      <c r="U1416" s="1583"/>
      <c r="V1416" s="1583"/>
      <c r="W1416" s="1583"/>
    </row>
    <row r="1417" spans="1:23" ht="7.35" customHeight="1">
      <c r="B1417" s="1580" t="s">
        <v>1994</v>
      </c>
      <c r="C1417" s="1580"/>
      <c r="D1417" s="1580"/>
      <c r="E1417" s="1585"/>
      <c r="F1417" s="1585"/>
      <c r="G1417" s="1585"/>
      <c r="H1417" s="1585"/>
      <c r="I1417" s="1585"/>
      <c r="J1417" s="1585"/>
      <c r="K1417" s="1585"/>
      <c r="L1417" s="1585"/>
      <c r="M1417" s="1585"/>
      <c r="N1417" s="1585"/>
      <c r="O1417" s="1585"/>
      <c r="P1417" s="1585"/>
      <c r="Q1417" s="1585"/>
      <c r="R1417" s="1582"/>
      <c r="S1417" s="1582"/>
      <c r="T1417" s="1582" t="s">
        <v>7018</v>
      </c>
      <c r="U1417" s="1582"/>
    </row>
    <row r="1418" spans="1:23" ht="6.75" customHeight="1">
      <c r="E1418" s="1585"/>
      <c r="F1418" s="1585"/>
      <c r="G1418" s="1585"/>
      <c r="H1418" s="1585"/>
      <c r="I1418" s="1585"/>
      <c r="J1418" s="1585"/>
      <c r="K1418" s="1585"/>
      <c r="L1418" s="1585"/>
      <c r="M1418" s="1585"/>
      <c r="N1418" s="1585"/>
      <c r="O1418" s="1585"/>
      <c r="P1418" s="1585"/>
      <c r="Q1418" s="1585"/>
      <c r="R1418" s="1582"/>
      <c r="S1418" s="1582"/>
      <c r="T1418" s="1582"/>
      <c r="U1418" s="1582"/>
    </row>
    <row r="1419" spans="1:23" ht="10.9" customHeight="1">
      <c r="A1419" s="1576"/>
      <c r="B1419" s="1576"/>
      <c r="C1419" s="1576"/>
      <c r="D1419" s="1576"/>
      <c r="E1419" s="1576"/>
      <c r="F1419" s="1576"/>
      <c r="G1419" s="1576"/>
      <c r="H1419" s="1576"/>
      <c r="I1419" s="1576"/>
      <c r="J1419" s="1577" t="s">
        <v>1314</v>
      </c>
      <c r="K1419" s="1577"/>
      <c r="L1419" s="1577" t="s">
        <v>1315</v>
      </c>
      <c r="M1419" s="1577"/>
      <c r="N1419" s="1577"/>
      <c r="O1419" s="1577" t="s">
        <v>1316</v>
      </c>
      <c r="P1419" s="1577"/>
      <c r="Q1419" s="1577"/>
      <c r="R1419" s="1577"/>
      <c r="S1419" s="1577"/>
      <c r="T1419" s="1577"/>
      <c r="U1419" s="1577"/>
    </row>
    <row r="1420" spans="1:23" ht="14.1" customHeight="1">
      <c r="A1420" s="1578" t="s">
        <v>1317</v>
      </c>
      <c r="B1420" s="1578"/>
      <c r="C1420" s="1578" t="s">
        <v>1318</v>
      </c>
      <c r="D1420" s="1578"/>
      <c r="E1420" s="1578"/>
      <c r="F1420" s="1578" t="s">
        <v>1319</v>
      </c>
      <c r="G1420" s="1578"/>
      <c r="H1420" s="1578"/>
      <c r="I1420" s="1578"/>
      <c r="J1420" s="1413" t="s">
        <v>1320</v>
      </c>
      <c r="K1420" s="1413" t="s">
        <v>1321</v>
      </c>
      <c r="L1420" s="1413" t="s">
        <v>1320</v>
      </c>
      <c r="M1420" s="1579" t="s">
        <v>1321</v>
      </c>
      <c r="N1420" s="1579"/>
      <c r="O1420" s="1579" t="s">
        <v>1320</v>
      </c>
      <c r="P1420" s="1579"/>
      <c r="Q1420" s="1579" t="s">
        <v>1321</v>
      </c>
      <c r="R1420" s="1579"/>
      <c r="S1420" s="1579"/>
      <c r="T1420" s="1579"/>
      <c r="U1420" s="1579"/>
    </row>
    <row r="1421" spans="1:23" ht="22.5" customHeight="1">
      <c r="A1421" s="1574" t="s">
        <v>1322</v>
      </c>
      <c r="B1421" s="1574"/>
      <c r="C1421" s="1574" t="s">
        <v>2558</v>
      </c>
      <c r="D1421" s="1574"/>
      <c r="E1421" s="1574"/>
      <c r="F1421" s="1574" t="s">
        <v>2423</v>
      </c>
      <c r="G1421" s="1574"/>
      <c r="H1421" s="1574"/>
      <c r="I1421" s="1574"/>
      <c r="J1421" s="1412">
        <v>531346.09</v>
      </c>
      <c r="K1421" s="1412">
        <v>0</v>
      </c>
      <c r="L1421" s="1412">
        <v>0</v>
      </c>
      <c r="M1421" s="1575">
        <v>82310.929999999993</v>
      </c>
      <c r="N1421" s="1575"/>
      <c r="O1421" s="1575">
        <v>449035.16</v>
      </c>
      <c r="P1421" s="1575"/>
      <c r="Q1421" s="1575">
        <v>0</v>
      </c>
      <c r="R1421" s="1575"/>
      <c r="S1421" s="1575"/>
      <c r="T1421" s="1575"/>
      <c r="U1421" s="1575"/>
    </row>
    <row r="1422" spans="1:23" ht="19.149999999999999" customHeight="1">
      <c r="A1422" s="1574" t="s">
        <v>1322</v>
      </c>
      <c r="B1422" s="1574"/>
      <c r="C1422" s="1574" t="s">
        <v>2559</v>
      </c>
      <c r="D1422" s="1574"/>
      <c r="E1422" s="1574"/>
      <c r="F1422" s="1574" t="s">
        <v>2423</v>
      </c>
      <c r="G1422" s="1574"/>
      <c r="H1422" s="1574"/>
      <c r="I1422" s="1574"/>
      <c r="J1422" s="1412">
        <v>300000</v>
      </c>
      <c r="K1422" s="1412">
        <v>0</v>
      </c>
      <c r="L1422" s="1412">
        <v>0</v>
      </c>
      <c r="M1422" s="1575">
        <v>0</v>
      </c>
      <c r="N1422" s="1575"/>
      <c r="O1422" s="1575">
        <v>300000</v>
      </c>
      <c r="P1422" s="1575"/>
      <c r="Q1422" s="1575">
        <v>0</v>
      </c>
      <c r="R1422" s="1575"/>
      <c r="S1422" s="1575"/>
      <c r="T1422" s="1575"/>
      <c r="U1422" s="1575"/>
    </row>
    <row r="1423" spans="1:23" ht="19.149999999999999" customHeight="1">
      <c r="A1423" s="1574" t="s">
        <v>1322</v>
      </c>
      <c r="B1423" s="1574"/>
      <c r="C1423" s="1574" t="s">
        <v>3283</v>
      </c>
      <c r="D1423" s="1574"/>
      <c r="E1423" s="1574"/>
      <c r="F1423" s="1574" t="s">
        <v>2416</v>
      </c>
      <c r="G1423" s="1574"/>
      <c r="H1423" s="1574"/>
      <c r="I1423" s="1574"/>
      <c r="J1423" s="1412">
        <v>45859</v>
      </c>
      <c r="K1423" s="1412">
        <v>0</v>
      </c>
      <c r="L1423" s="1412">
        <v>0</v>
      </c>
      <c r="M1423" s="1575">
        <v>3200</v>
      </c>
      <c r="N1423" s="1575"/>
      <c r="O1423" s="1575">
        <v>42659</v>
      </c>
      <c r="P1423" s="1575"/>
      <c r="Q1423" s="1575">
        <v>0</v>
      </c>
      <c r="R1423" s="1575"/>
      <c r="S1423" s="1575"/>
      <c r="T1423" s="1575"/>
      <c r="U1423" s="1575"/>
    </row>
    <row r="1424" spans="1:23" ht="19.149999999999999" customHeight="1">
      <c r="A1424" s="1574" t="s">
        <v>1322</v>
      </c>
      <c r="B1424" s="1574"/>
      <c r="C1424" s="1574" t="s">
        <v>2560</v>
      </c>
      <c r="D1424" s="1574"/>
      <c r="E1424" s="1574"/>
      <c r="F1424" s="1574" t="s">
        <v>2418</v>
      </c>
      <c r="G1424" s="1574"/>
      <c r="H1424" s="1574"/>
      <c r="I1424" s="1574"/>
      <c r="J1424" s="1412">
        <v>85439.52</v>
      </c>
      <c r="K1424" s="1412">
        <v>0</v>
      </c>
      <c r="L1424" s="1412">
        <v>0</v>
      </c>
      <c r="M1424" s="1575">
        <v>16006.02</v>
      </c>
      <c r="N1424" s="1575"/>
      <c r="O1424" s="1575">
        <v>69433.5</v>
      </c>
      <c r="P1424" s="1575"/>
      <c r="Q1424" s="1575">
        <v>0</v>
      </c>
      <c r="R1424" s="1575"/>
      <c r="S1424" s="1575"/>
      <c r="T1424" s="1575"/>
      <c r="U1424" s="1575"/>
    </row>
    <row r="1425" spans="1:21" ht="19.149999999999999" customHeight="1">
      <c r="A1425" s="1574" t="s">
        <v>1322</v>
      </c>
      <c r="B1425" s="1574"/>
      <c r="C1425" s="1574" t="s">
        <v>2561</v>
      </c>
      <c r="D1425" s="1574"/>
      <c r="E1425" s="1574"/>
      <c r="F1425" s="1574" t="s">
        <v>2423</v>
      </c>
      <c r="G1425" s="1574"/>
      <c r="H1425" s="1574"/>
      <c r="I1425" s="1574"/>
      <c r="J1425" s="1412">
        <v>839986.06</v>
      </c>
      <c r="K1425" s="1412">
        <v>0</v>
      </c>
      <c r="L1425" s="1412">
        <v>0</v>
      </c>
      <c r="M1425" s="1575">
        <v>60252.33</v>
      </c>
      <c r="N1425" s="1575"/>
      <c r="O1425" s="1575">
        <v>779733.73</v>
      </c>
      <c r="P1425" s="1575"/>
      <c r="Q1425" s="1575">
        <v>0</v>
      </c>
      <c r="R1425" s="1575"/>
      <c r="S1425" s="1575"/>
      <c r="T1425" s="1575"/>
      <c r="U1425" s="1575"/>
    </row>
    <row r="1426" spans="1:21" ht="19.149999999999999" customHeight="1">
      <c r="A1426" s="1574" t="s">
        <v>1322</v>
      </c>
      <c r="B1426" s="1574"/>
      <c r="C1426" s="1574" t="s">
        <v>3284</v>
      </c>
      <c r="D1426" s="1574"/>
      <c r="E1426" s="1574"/>
      <c r="F1426" s="1574" t="s">
        <v>2416</v>
      </c>
      <c r="G1426" s="1574"/>
      <c r="H1426" s="1574"/>
      <c r="I1426" s="1574"/>
      <c r="J1426" s="1412">
        <v>31260</v>
      </c>
      <c r="K1426" s="1412">
        <v>0</v>
      </c>
      <c r="L1426" s="1412">
        <v>0</v>
      </c>
      <c r="M1426" s="1575">
        <v>7600</v>
      </c>
      <c r="N1426" s="1575"/>
      <c r="O1426" s="1575">
        <v>23660</v>
      </c>
      <c r="P1426" s="1575"/>
      <c r="Q1426" s="1575">
        <v>0</v>
      </c>
      <c r="R1426" s="1575"/>
      <c r="S1426" s="1575"/>
      <c r="T1426" s="1575"/>
      <c r="U1426" s="1575"/>
    </row>
    <row r="1427" spans="1:21" ht="19.149999999999999" customHeight="1">
      <c r="A1427" s="1574" t="s">
        <v>1322</v>
      </c>
      <c r="B1427" s="1574"/>
      <c r="C1427" s="1574" t="s">
        <v>2562</v>
      </c>
      <c r="D1427" s="1574"/>
      <c r="E1427" s="1574"/>
      <c r="F1427" s="1574" t="s">
        <v>2418</v>
      </c>
      <c r="G1427" s="1574"/>
      <c r="H1427" s="1574"/>
      <c r="I1427" s="1574"/>
      <c r="J1427" s="1412">
        <v>356919.15</v>
      </c>
      <c r="K1427" s="1412">
        <v>0</v>
      </c>
      <c r="L1427" s="1412">
        <v>0</v>
      </c>
      <c r="M1427" s="1575">
        <v>40913.08</v>
      </c>
      <c r="N1427" s="1575"/>
      <c r="O1427" s="1575">
        <v>316006.07</v>
      </c>
      <c r="P1427" s="1575"/>
      <c r="Q1427" s="1575">
        <v>0</v>
      </c>
      <c r="R1427" s="1575"/>
      <c r="S1427" s="1575"/>
      <c r="T1427" s="1575"/>
      <c r="U1427" s="1575"/>
    </row>
    <row r="1428" spans="1:21" ht="19.149999999999999" customHeight="1">
      <c r="A1428" s="1574" t="s">
        <v>1322</v>
      </c>
      <c r="B1428" s="1574"/>
      <c r="C1428" s="1574" t="s">
        <v>2563</v>
      </c>
      <c r="D1428" s="1574"/>
      <c r="E1428" s="1574"/>
      <c r="F1428" s="1574" t="s">
        <v>2423</v>
      </c>
      <c r="G1428" s="1574"/>
      <c r="H1428" s="1574"/>
      <c r="I1428" s="1574"/>
      <c r="J1428" s="1412">
        <v>396012.22</v>
      </c>
      <c r="K1428" s="1412">
        <v>0</v>
      </c>
      <c r="L1428" s="1412">
        <v>0</v>
      </c>
      <c r="M1428" s="1575">
        <v>58945.94</v>
      </c>
      <c r="N1428" s="1575"/>
      <c r="O1428" s="1575">
        <v>337066.28</v>
      </c>
      <c r="P1428" s="1575"/>
      <c r="Q1428" s="1575">
        <v>0</v>
      </c>
      <c r="R1428" s="1575"/>
      <c r="S1428" s="1575"/>
      <c r="T1428" s="1575"/>
      <c r="U1428" s="1575"/>
    </row>
    <row r="1429" spans="1:21" ht="19.149999999999999" customHeight="1">
      <c r="A1429" s="1574" t="s">
        <v>1322</v>
      </c>
      <c r="B1429" s="1574"/>
      <c r="C1429" s="1574" t="s">
        <v>6327</v>
      </c>
      <c r="D1429" s="1574"/>
      <c r="E1429" s="1574"/>
      <c r="F1429" s="1574" t="s">
        <v>2418</v>
      </c>
      <c r="G1429" s="1574"/>
      <c r="H1429" s="1574"/>
      <c r="I1429" s="1574"/>
      <c r="J1429" s="1412">
        <v>240000</v>
      </c>
      <c r="K1429" s="1412">
        <v>0</v>
      </c>
      <c r="L1429" s="1412">
        <v>0</v>
      </c>
      <c r="M1429" s="1575">
        <v>0</v>
      </c>
      <c r="N1429" s="1575"/>
      <c r="O1429" s="1575">
        <v>240000</v>
      </c>
      <c r="P1429" s="1575"/>
      <c r="Q1429" s="1575">
        <v>0</v>
      </c>
      <c r="R1429" s="1575"/>
      <c r="S1429" s="1575"/>
      <c r="T1429" s="1575"/>
      <c r="U1429" s="1575"/>
    </row>
    <row r="1430" spans="1:21" ht="19.149999999999999" customHeight="1">
      <c r="A1430" s="1574" t="s">
        <v>1322</v>
      </c>
      <c r="B1430" s="1574"/>
      <c r="C1430" s="1574" t="s">
        <v>6328</v>
      </c>
      <c r="D1430" s="1574"/>
      <c r="E1430" s="1574"/>
      <c r="F1430" s="1574" t="s">
        <v>2443</v>
      </c>
      <c r="G1430" s="1574"/>
      <c r="H1430" s="1574"/>
      <c r="I1430" s="1574"/>
      <c r="J1430" s="1412">
        <v>30365.87</v>
      </c>
      <c r="K1430" s="1412">
        <v>0</v>
      </c>
      <c r="L1430" s="1412">
        <v>0</v>
      </c>
      <c r="M1430" s="1575">
        <v>0</v>
      </c>
      <c r="N1430" s="1575"/>
      <c r="O1430" s="1575">
        <v>30365.87</v>
      </c>
      <c r="P1430" s="1575"/>
      <c r="Q1430" s="1575">
        <v>0</v>
      </c>
      <c r="R1430" s="1575"/>
      <c r="S1430" s="1575"/>
      <c r="T1430" s="1575"/>
      <c r="U1430" s="1575"/>
    </row>
    <row r="1431" spans="1:21" ht="19.149999999999999" customHeight="1">
      <c r="A1431" s="1574" t="s">
        <v>1322</v>
      </c>
      <c r="B1431" s="1574"/>
      <c r="C1431" s="1574" t="s">
        <v>6329</v>
      </c>
      <c r="D1431" s="1574"/>
      <c r="E1431" s="1574"/>
      <c r="F1431" s="1574" t="s">
        <v>2476</v>
      </c>
      <c r="G1431" s="1574"/>
      <c r="H1431" s="1574"/>
      <c r="I1431" s="1574"/>
      <c r="J1431" s="1412">
        <v>60000</v>
      </c>
      <c r="K1431" s="1412">
        <v>0</v>
      </c>
      <c r="L1431" s="1412">
        <v>0</v>
      </c>
      <c r="M1431" s="1575">
        <v>0</v>
      </c>
      <c r="N1431" s="1575"/>
      <c r="O1431" s="1575">
        <v>60000</v>
      </c>
      <c r="P1431" s="1575"/>
      <c r="Q1431" s="1575">
        <v>0</v>
      </c>
      <c r="R1431" s="1575"/>
      <c r="S1431" s="1575"/>
      <c r="T1431" s="1575"/>
      <c r="U1431" s="1575"/>
    </row>
    <row r="1432" spans="1:21" ht="19.149999999999999" customHeight="1">
      <c r="A1432" s="1574" t="s">
        <v>1322</v>
      </c>
      <c r="B1432" s="1574"/>
      <c r="C1432" s="1574" t="s">
        <v>6330</v>
      </c>
      <c r="D1432" s="1574"/>
      <c r="E1432" s="1574"/>
      <c r="F1432" s="1574" t="s">
        <v>2486</v>
      </c>
      <c r="G1432" s="1574"/>
      <c r="H1432" s="1574"/>
      <c r="I1432" s="1574"/>
      <c r="J1432" s="1412">
        <v>7500</v>
      </c>
      <c r="K1432" s="1412">
        <v>0</v>
      </c>
      <c r="L1432" s="1412">
        <v>0</v>
      </c>
      <c r="M1432" s="1575">
        <v>0</v>
      </c>
      <c r="N1432" s="1575"/>
      <c r="O1432" s="1575">
        <v>7500</v>
      </c>
      <c r="P1432" s="1575"/>
      <c r="Q1432" s="1575">
        <v>0</v>
      </c>
      <c r="R1432" s="1575"/>
      <c r="S1432" s="1575"/>
      <c r="T1432" s="1575"/>
      <c r="U1432" s="1575"/>
    </row>
    <row r="1433" spans="1:21" ht="19.149999999999999" customHeight="1">
      <c r="A1433" s="1574" t="s">
        <v>1322</v>
      </c>
      <c r="B1433" s="1574"/>
      <c r="C1433" s="1574" t="s">
        <v>6331</v>
      </c>
      <c r="D1433" s="1574"/>
      <c r="E1433" s="1574"/>
      <c r="F1433" s="1574" t="s">
        <v>2421</v>
      </c>
      <c r="G1433" s="1574"/>
      <c r="H1433" s="1574"/>
      <c r="I1433" s="1574"/>
      <c r="J1433" s="1412">
        <v>30733.9</v>
      </c>
      <c r="K1433" s="1412">
        <v>0</v>
      </c>
      <c r="L1433" s="1412">
        <v>0</v>
      </c>
      <c r="M1433" s="1575">
        <v>9453.2199999999993</v>
      </c>
      <c r="N1433" s="1575"/>
      <c r="O1433" s="1575">
        <v>21280.68</v>
      </c>
      <c r="P1433" s="1575"/>
      <c r="Q1433" s="1575">
        <v>0</v>
      </c>
      <c r="R1433" s="1575"/>
      <c r="S1433" s="1575"/>
      <c r="T1433" s="1575"/>
      <c r="U1433" s="1575"/>
    </row>
    <row r="1434" spans="1:21" ht="19.149999999999999" customHeight="1">
      <c r="A1434" s="1574" t="s">
        <v>1322</v>
      </c>
      <c r="B1434" s="1574"/>
      <c r="C1434" s="1574" t="s">
        <v>6332</v>
      </c>
      <c r="D1434" s="1574"/>
      <c r="E1434" s="1574"/>
      <c r="F1434" s="1574" t="s">
        <v>2423</v>
      </c>
      <c r="G1434" s="1574"/>
      <c r="H1434" s="1574"/>
      <c r="I1434" s="1574"/>
      <c r="J1434" s="1412">
        <v>39923.629999999997</v>
      </c>
      <c r="K1434" s="1412">
        <v>0</v>
      </c>
      <c r="L1434" s="1412">
        <v>0</v>
      </c>
      <c r="M1434" s="1575">
        <v>0</v>
      </c>
      <c r="N1434" s="1575"/>
      <c r="O1434" s="1575">
        <v>39923.629999999997</v>
      </c>
      <c r="P1434" s="1575"/>
      <c r="Q1434" s="1575">
        <v>0</v>
      </c>
      <c r="R1434" s="1575"/>
      <c r="S1434" s="1575"/>
      <c r="T1434" s="1575"/>
      <c r="U1434" s="1575"/>
    </row>
    <row r="1435" spans="1:21" ht="19.149999999999999" customHeight="1">
      <c r="A1435" s="1574" t="s">
        <v>1322</v>
      </c>
      <c r="B1435" s="1574"/>
      <c r="C1435" s="1574" t="s">
        <v>6333</v>
      </c>
      <c r="D1435" s="1574"/>
      <c r="E1435" s="1574"/>
      <c r="F1435" s="1574" t="s">
        <v>2500</v>
      </c>
      <c r="G1435" s="1574"/>
      <c r="H1435" s="1574"/>
      <c r="I1435" s="1574"/>
      <c r="J1435" s="1412">
        <v>180000</v>
      </c>
      <c r="K1435" s="1412">
        <v>0</v>
      </c>
      <c r="L1435" s="1412">
        <v>0</v>
      </c>
      <c r="M1435" s="1575">
        <v>15358.57</v>
      </c>
      <c r="N1435" s="1575"/>
      <c r="O1435" s="1575">
        <v>164641.43</v>
      </c>
      <c r="P1435" s="1575"/>
      <c r="Q1435" s="1575">
        <v>0</v>
      </c>
      <c r="R1435" s="1575"/>
      <c r="S1435" s="1575"/>
      <c r="T1435" s="1575"/>
      <c r="U1435" s="1575"/>
    </row>
    <row r="1436" spans="1:21" ht="19.149999999999999" customHeight="1">
      <c r="A1436" s="1574" t="s">
        <v>1322</v>
      </c>
      <c r="B1436" s="1574"/>
      <c r="C1436" s="1574" t="s">
        <v>2564</v>
      </c>
      <c r="D1436" s="1574"/>
      <c r="E1436" s="1574"/>
      <c r="F1436" s="1574" t="s">
        <v>2387</v>
      </c>
      <c r="G1436" s="1574"/>
      <c r="H1436" s="1574"/>
      <c r="I1436" s="1574"/>
      <c r="J1436" s="1412">
        <v>260950.35</v>
      </c>
      <c r="K1436" s="1412">
        <v>0</v>
      </c>
      <c r="L1436" s="1412">
        <v>0</v>
      </c>
      <c r="M1436" s="1575">
        <v>44262.3</v>
      </c>
      <c r="N1436" s="1575"/>
      <c r="O1436" s="1575">
        <v>216688.05</v>
      </c>
      <c r="P1436" s="1575"/>
      <c r="Q1436" s="1575">
        <v>0</v>
      </c>
      <c r="R1436" s="1575"/>
      <c r="S1436" s="1575"/>
      <c r="T1436" s="1575"/>
      <c r="U1436" s="1575"/>
    </row>
    <row r="1437" spans="1:21" ht="19.149999999999999" customHeight="1">
      <c r="A1437" s="1574" t="s">
        <v>1322</v>
      </c>
      <c r="B1437" s="1574"/>
      <c r="C1437" s="1574" t="s">
        <v>2565</v>
      </c>
      <c r="D1437" s="1574"/>
      <c r="E1437" s="1574"/>
      <c r="F1437" s="1574" t="s">
        <v>2390</v>
      </c>
      <c r="G1437" s="1574"/>
      <c r="H1437" s="1574"/>
      <c r="I1437" s="1574"/>
      <c r="J1437" s="1412">
        <v>105112</v>
      </c>
      <c r="K1437" s="1412">
        <v>0</v>
      </c>
      <c r="L1437" s="1412">
        <v>0</v>
      </c>
      <c r="M1437" s="1575">
        <v>74655.740000000005</v>
      </c>
      <c r="N1437" s="1575"/>
      <c r="O1437" s="1575">
        <v>30456.26</v>
      </c>
      <c r="P1437" s="1575"/>
      <c r="Q1437" s="1575">
        <v>0</v>
      </c>
      <c r="R1437" s="1575"/>
      <c r="S1437" s="1575"/>
      <c r="T1437" s="1575"/>
      <c r="U1437" s="1575"/>
    </row>
    <row r="1438" spans="1:21" ht="19.149999999999999" customHeight="1">
      <c r="A1438" s="1574" t="s">
        <v>1322</v>
      </c>
      <c r="B1438" s="1574"/>
      <c r="C1438" s="1574" t="s">
        <v>2566</v>
      </c>
      <c r="D1438" s="1574"/>
      <c r="E1438" s="1574"/>
      <c r="F1438" s="1574" t="s">
        <v>2392</v>
      </c>
      <c r="G1438" s="1574"/>
      <c r="H1438" s="1574"/>
      <c r="I1438" s="1574"/>
      <c r="J1438" s="1412">
        <v>6698.48</v>
      </c>
      <c r="K1438" s="1412">
        <v>0</v>
      </c>
      <c r="L1438" s="1412">
        <v>0</v>
      </c>
      <c r="M1438" s="1575">
        <v>3688.53</v>
      </c>
      <c r="N1438" s="1575"/>
      <c r="O1438" s="1575">
        <v>3009.95</v>
      </c>
      <c r="P1438" s="1575"/>
      <c r="Q1438" s="1575">
        <v>0</v>
      </c>
      <c r="R1438" s="1575"/>
      <c r="S1438" s="1575"/>
      <c r="T1438" s="1575"/>
      <c r="U1438" s="1575"/>
    </row>
    <row r="1439" spans="1:21" ht="19.149999999999999" customHeight="1">
      <c r="A1439" s="1574" t="s">
        <v>1322</v>
      </c>
      <c r="B1439" s="1574"/>
      <c r="C1439" s="1574" t="s">
        <v>3285</v>
      </c>
      <c r="D1439" s="1574"/>
      <c r="E1439" s="1574"/>
      <c r="F1439" s="1574" t="s">
        <v>2455</v>
      </c>
      <c r="G1439" s="1574"/>
      <c r="H1439" s="1574"/>
      <c r="I1439" s="1574"/>
      <c r="J1439" s="1412">
        <v>85300.17</v>
      </c>
      <c r="K1439" s="1412">
        <v>0</v>
      </c>
      <c r="L1439" s="1412">
        <v>0</v>
      </c>
      <c r="M1439" s="1575">
        <v>991.64</v>
      </c>
      <c r="N1439" s="1575"/>
      <c r="O1439" s="1575">
        <v>84308.53</v>
      </c>
      <c r="P1439" s="1575"/>
      <c r="Q1439" s="1575">
        <v>0</v>
      </c>
      <c r="R1439" s="1575"/>
      <c r="S1439" s="1575"/>
      <c r="T1439" s="1575"/>
      <c r="U1439" s="1575"/>
    </row>
    <row r="1440" spans="1:21" ht="19.149999999999999" customHeight="1">
      <c r="A1440" s="1574" t="s">
        <v>1322</v>
      </c>
      <c r="B1440" s="1574"/>
      <c r="C1440" s="1574" t="s">
        <v>2567</v>
      </c>
      <c r="D1440" s="1574"/>
      <c r="E1440" s="1574"/>
      <c r="F1440" s="1574" t="s">
        <v>2394</v>
      </c>
      <c r="G1440" s="1574"/>
      <c r="H1440" s="1574"/>
      <c r="I1440" s="1574"/>
      <c r="J1440" s="1412">
        <v>36000</v>
      </c>
      <c r="K1440" s="1412">
        <v>0</v>
      </c>
      <c r="L1440" s="1412">
        <v>0</v>
      </c>
      <c r="M1440" s="1575">
        <v>0</v>
      </c>
      <c r="N1440" s="1575"/>
      <c r="O1440" s="1575">
        <v>36000</v>
      </c>
      <c r="P1440" s="1575"/>
      <c r="Q1440" s="1575">
        <v>0</v>
      </c>
      <c r="R1440" s="1575"/>
      <c r="S1440" s="1575"/>
      <c r="T1440" s="1575"/>
      <c r="U1440" s="1575"/>
    </row>
    <row r="1441" spans="1:23" ht="19.149999999999999" customHeight="1">
      <c r="A1441" s="1574" t="s">
        <v>1322</v>
      </c>
      <c r="B1441" s="1574"/>
      <c r="C1441" s="1574" t="s">
        <v>2568</v>
      </c>
      <c r="D1441" s="1574"/>
      <c r="E1441" s="1574"/>
      <c r="F1441" s="1574" t="s">
        <v>2396</v>
      </c>
      <c r="G1441" s="1574"/>
      <c r="H1441" s="1574"/>
      <c r="I1441" s="1574"/>
      <c r="J1441" s="1412">
        <v>47905.47</v>
      </c>
      <c r="K1441" s="1412">
        <v>0</v>
      </c>
      <c r="L1441" s="1412">
        <v>0</v>
      </c>
      <c r="M1441" s="1575">
        <v>11286.9</v>
      </c>
      <c r="N1441" s="1575"/>
      <c r="O1441" s="1575">
        <v>36618.57</v>
      </c>
      <c r="P1441" s="1575"/>
      <c r="Q1441" s="1575">
        <v>0</v>
      </c>
      <c r="R1441" s="1575"/>
      <c r="S1441" s="1575"/>
      <c r="T1441" s="1575"/>
      <c r="U1441" s="1575"/>
    </row>
    <row r="1442" spans="1:23" ht="19.149999999999999" customHeight="1">
      <c r="A1442" s="1574" t="s">
        <v>1322</v>
      </c>
      <c r="B1442" s="1574"/>
      <c r="C1442" s="1574" t="s">
        <v>2569</v>
      </c>
      <c r="D1442" s="1574"/>
      <c r="E1442" s="1574"/>
      <c r="F1442" s="1574" t="s">
        <v>2398</v>
      </c>
      <c r="G1442" s="1574"/>
      <c r="H1442" s="1574"/>
      <c r="I1442" s="1574"/>
      <c r="J1442" s="1412">
        <v>1500.26</v>
      </c>
      <c r="K1442" s="1412">
        <v>0</v>
      </c>
      <c r="L1442" s="1412">
        <v>0</v>
      </c>
      <c r="M1442" s="1575">
        <v>345.72</v>
      </c>
      <c r="N1442" s="1575"/>
      <c r="O1442" s="1575">
        <v>1154.54</v>
      </c>
      <c r="P1442" s="1575"/>
      <c r="Q1442" s="1575">
        <v>0</v>
      </c>
      <c r="R1442" s="1575"/>
      <c r="S1442" s="1575"/>
      <c r="T1442" s="1575"/>
      <c r="U1442" s="1575"/>
    </row>
    <row r="1443" spans="1:23" ht="19.149999999999999" customHeight="1">
      <c r="A1443" s="1574" t="s">
        <v>1322</v>
      </c>
      <c r="B1443" s="1574"/>
      <c r="C1443" s="1574" t="s">
        <v>2570</v>
      </c>
      <c r="D1443" s="1574"/>
      <c r="E1443" s="1574"/>
      <c r="F1443" s="1574" t="s">
        <v>2400</v>
      </c>
      <c r="G1443" s="1574"/>
      <c r="H1443" s="1574"/>
      <c r="I1443" s="1574"/>
      <c r="J1443" s="1412">
        <v>19942.34</v>
      </c>
      <c r="K1443" s="1412">
        <v>0</v>
      </c>
      <c r="L1443" s="1412">
        <v>0</v>
      </c>
      <c r="M1443" s="1575">
        <v>0</v>
      </c>
      <c r="N1443" s="1575"/>
      <c r="O1443" s="1575">
        <v>19942.34</v>
      </c>
      <c r="P1443" s="1575"/>
      <c r="Q1443" s="1575">
        <v>0</v>
      </c>
      <c r="R1443" s="1575"/>
      <c r="S1443" s="1575"/>
      <c r="T1443" s="1575"/>
      <c r="U1443" s="1575"/>
    </row>
    <row r="1444" spans="1:23" ht="6.95" customHeight="1"/>
    <row r="1445" spans="1:23" ht="14.1" customHeight="1">
      <c r="S1445" s="1573" t="s">
        <v>5993</v>
      </c>
      <c r="T1445" s="1573"/>
      <c r="U1445" s="1573"/>
      <c r="V1445" s="1573"/>
      <c r="W1445" s="1573"/>
    </row>
    <row r="1446" spans="1:23" ht="7.15" customHeight="1">
      <c r="C1446" s="1586" t="s">
        <v>2987</v>
      </c>
      <c r="D1446" s="1586"/>
      <c r="E1446" s="1586"/>
      <c r="F1446" s="1586"/>
      <c r="G1446" s="1586"/>
      <c r="H1446" s="1586"/>
      <c r="I1446" s="1586"/>
      <c r="J1446" s="1586"/>
      <c r="K1446" s="1586"/>
      <c r="L1446" s="1586"/>
      <c r="M1446" s="1586"/>
      <c r="N1446" s="1586"/>
      <c r="O1446" s="1586"/>
      <c r="P1446" s="1586"/>
      <c r="Q1446" s="1586"/>
      <c r="R1446" s="1586"/>
      <c r="S1446" s="1586"/>
      <c r="T1446" s="1586"/>
    </row>
    <row r="1447" spans="1:23" ht="9.6" customHeight="1">
      <c r="A1447" s="1587"/>
      <c r="B1447" s="1587"/>
      <c r="C1447" s="1587"/>
      <c r="D1447" s="1587"/>
      <c r="E1447" s="1587"/>
      <c r="F1447" s="1587"/>
      <c r="G1447" s="1586"/>
      <c r="H1447" s="1586"/>
      <c r="I1447" s="1586"/>
      <c r="J1447" s="1586"/>
      <c r="K1447" s="1586"/>
      <c r="L1447" s="1586"/>
      <c r="M1447" s="1586"/>
      <c r="N1447" s="1586"/>
      <c r="O1447" s="1586"/>
      <c r="P1447" s="1586"/>
      <c r="Q1447" s="1586"/>
      <c r="R1447" s="1586"/>
      <c r="S1447" s="1586"/>
      <c r="T1447" s="1586"/>
    </row>
    <row r="1448" spans="1:23" ht="13.35" customHeight="1">
      <c r="A1448" s="1587"/>
      <c r="B1448" s="1587"/>
      <c r="C1448" s="1587"/>
      <c r="D1448" s="1587"/>
      <c r="E1448" s="1587"/>
      <c r="F1448" s="1587"/>
      <c r="G1448" s="1588" t="s">
        <v>79</v>
      </c>
      <c r="H1448" s="1588"/>
      <c r="I1448" s="1588"/>
      <c r="J1448" s="1588"/>
      <c r="K1448" s="1588"/>
      <c r="L1448" s="1588"/>
      <c r="M1448" s="1588"/>
      <c r="N1448" s="1588"/>
      <c r="O1448" s="1588"/>
      <c r="P1448" s="1588"/>
      <c r="Q1448" s="1588"/>
      <c r="R1448" s="1588"/>
    </row>
    <row r="1449" spans="1:23" ht="5.25" customHeight="1">
      <c r="A1449" s="1587"/>
      <c r="B1449" s="1587"/>
      <c r="C1449" s="1587"/>
      <c r="D1449" s="1587"/>
      <c r="E1449" s="1587"/>
      <c r="F1449" s="1587"/>
      <c r="G1449" s="1581" t="s">
        <v>7015</v>
      </c>
      <c r="H1449" s="1581"/>
      <c r="I1449" s="1581"/>
      <c r="J1449" s="1581"/>
      <c r="K1449" s="1581"/>
      <c r="L1449" s="1581"/>
      <c r="M1449" s="1581"/>
      <c r="N1449" s="1581"/>
      <c r="O1449" s="1581"/>
      <c r="P1449" s="1581"/>
      <c r="Q1449" s="1581"/>
    </row>
    <row r="1450" spans="1:23" ht="8.1" customHeight="1">
      <c r="B1450" s="1580" t="s">
        <v>1916</v>
      </c>
      <c r="C1450" s="1580"/>
      <c r="D1450" s="1580"/>
      <c r="E1450" s="1580"/>
      <c r="F1450" s="1580"/>
      <c r="G1450" s="1580"/>
      <c r="H1450" s="1581"/>
      <c r="I1450" s="1581"/>
      <c r="J1450" s="1581"/>
      <c r="K1450" s="1581"/>
      <c r="L1450" s="1581"/>
      <c r="M1450" s="1581"/>
      <c r="N1450" s="1582" t="s">
        <v>5619</v>
      </c>
      <c r="O1450" s="1582"/>
      <c r="P1450" s="1582"/>
      <c r="Q1450" s="1582"/>
      <c r="R1450" s="1582"/>
      <c r="S1450" s="1582"/>
      <c r="T1450" s="1583" t="s">
        <v>7016</v>
      </c>
      <c r="U1450" s="1583"/>
      <c r="V1450" s="1583"/>
      <c r="W1450" s="1583"/>
    </row>
    <row r="1451" spans="1:23" ht="6" customHeight="1">
      <c r="B1451" s="1580"/>
      <c r="C1451" s="1580"/>
      <c r="D1451" s="1580"/>
      <c r="E1451" s="1580"/>
      <c r="F1451" s="1580"/>
      <c r="G1451" s="1580"/>
      <c r="H1451" s="1584" t="s">
        <v>7017</v>
      </c>
      <c r="I1451" s="1584"/>
      <c r="J1451" s="1584"/>
      <c r="K1451" s="1584"/>
      <c r="L1451" s="1584"/>
      <c r="M1451" s="1584"/>
      <c r="N1451" s="1582"/>
      <c r="O1451" s="1582"/>
      <c r="P1451" s="1582"/>
      <c r="Q1451" s="1582"/>
      <c r="R1451" s="1582"/>
      <c r="S1451" s="1582"/>
      <c r="T1451" s="1583"/>
      <c r="U1451" s="1583"/>
      <c r="V1451" s="1583"/>
      <c r="W1451" s="1583"/>
    </row>
    <row r="1452" spans="1:23" ht="7.35" customHeight="1">
      <c r="B1452" s="1580" t="s">
        <v>1994</v>
      </c>
      <c r="C1452" s="1580"/>
      <c r="D1452" s="1580"/>
      <c r="E1452" s="1585"/>
      <c r="F1452" s="1585"/>
      <c r="G1452" s="1585"/>
      <c r="H1452" s="1585"/>
      <c r="I1452" s="1585"/>
      <c r="J1452" s="1585"/>
      <c r="K1452" s="1585"/>
      <c r="L1452" s="1585"/>
      <c r="M1452" s="1585"/>
      <c r="N1452" s="1585"/>
      <c r="O1452" s="1585"/>
      <c r="P1452" s="1585"/>
      <c r="Q1452" s="1585"/>
      <c r="R1452" s="1582"/>
      <c r="S1452" s="1582"/>
      <c r="T1452" s="1582" t="s">
        <v>7018</v>
      </c>
      <c r="U1452" s="1582"/>
    </row>
    <row r="1453" spans="1:23" ht="6.75" customHeight="1">
      <c r="E1453" s="1585"/>
      <c r="F1453" s="1585"/>
      <c r="G1453" s="1585"/>
      <c r="H1453" s="1585"/>
      <c r="I1453" s="1585"/>
      <c r="J1453" s="1585"/>
      <c r="K1453" s="1585"/>
      <c r="L1453" s="1585"/>
      <c r="M1453" s="1585"/>
      <c r="N1453" s="1585"/>
      <c r="O1453" s="1585"/>
      <c r="P1453" s="1585"/>
      <c r="Q1453" s="1585"/>
      <c r="R1453" s="1582"/>
      <c r="S1453" s="1582"/>
      <c r="T1453" s="1582"/>
      <c r="U1453" s="1582"/>
    </row>
    <row r="1454" spans="1:23" ht="10.9" customHeight="1">
      <c r="A1454" s="1576"/>
      <c r="B1454" s="1576"/>
      <c r="C1454" s="1576"/>
      <c r="D1454" s="1576"/>
      <c r="E1454" s="1576"/>
      <c r="F1454" s="1576"/>
      <c r="G1454" s="1576"/>
      <c r="H1454" s="1576"/>
      <c r="I1454" s="1576"/>
      <c r="J1454" s="1577" t="s">
        <v>1314</v>
      </c>
      <c r="K1454" s="1577"/>
      <c r="L1454" s="1577" t="s">
        <v>1315</v>
      </c>
      <c r="M1454" s="1577"/>
      <c r="N1454" s="1577"/>
      <c r="O1454" s="1577" t="s">
        <v>1316</v>
      </c>
      <c r="P1454" s="1577"/>
      <c r="Q1454" s="1577"/>
      <c r="R1454" s="1577"/>
      <c r="S1454" s="1577"/>
      <c r="T1454" s="1577"/>
      <c r="U1454" s="1577"/>
    </row>
    <row r="1455" spans="1:23" ht="14.1" customHeight="1">
      <c r="A1455" s="1578" t="s">
        <v>1317</v>
      </c>
      <c r="B1455" s="1578"/>
      <c r="C1455" s="1578" t="s">
        <v>1318</v>
      </c>
      <c r="D1455" s="1578"/>
      <c r="E1455" s="1578"/>
      <c r="F1455" s="1578" t="s">
        <v>1319</v>
      </c>
      <c r="G1455" s="1578"/>
      <c r="H1455" s="1578"/>
      <c r="I1455" s="1578"/>
      <c r="J1455" s="1413" t="s">
        <v>1320</v>
      </c>
      <c r="K1455" s="1413" t="s">
        <v>1321</v>
      </c>
      <c r="L1455" s="1413" t="s">
        <v>1320</v>
      </c>
      <c r="M1455" s="1579" t="s">
        <v>1321</v>
      </c>
      <c r="N1455" s="1579"/>
      <c r="O1455" s="1579" t="s">
        <v>1320</v>
      </c>
      <c r="P1455" s="1579"/>
      <c r="Q1455" s="1579" t="s">
        <v>1321</v>
      </c>
      <c r="R1455" s="1579"/>
      <c r="S1455" s="1579"/>
      <c r="T1455" s="1579"/>
      <c r="U1455" s="1579"/>
    </row>
    <row r="1456" spans="1:23" ht="22.5" customHeight="1">
      <c r="A1456" s="1574" t="s">
        <v>1322</v>
      </c>
      <c r="B1456" s="1574"/>
      <c r="C1456" s="1574" t="s">
        <v>2571</v>
      </c>
      <c r="D1456" s="1574"/>
      <c r="E1456" s="1574"/>
      <c r="F1456" s="1574" t="s">
        <v>2402</v>
      </c>
      <c r="G1456" s="1574"/>
      <c r="H1456" s="1574"/>
      <c r="I1456" s="1574"/>
      <c r="J1456" s="1412">
        <v>27551.52</v>
      </c>
      <c r="K1456" s="1412">
        <v>0</v>
      </c>
      <c r="L1456" s="1412">
        <v>0</v>
      </c>
      <c r="M1456" s="1575">
        <v>4919.78</v>
      </c>
      <c r="N1456" s="1575"/>
      <c r="O1456" s="1575">
        <v>22631.74</v>
      </c>
      <c r="P1456" s="1575"/>
      <c r="Q1456" s="1575">
        <v>0</v>
      </c>
      <c r="R1456" s="1575"/>
      <c r="S1456" s="1575"/>
      <c r="T1456" s="1575"/>
      <c r="U1456" s="1575"/>
    </row>
    <row r="1457" spans="1:21" ht="19.149999999999999" customHeight="1">
      <c r="A1457" s="1574" t="s">
        <v>1322</v>
      </c>
      <c r="B1457" s="1574"/>
      <c r="C1457" s="1574" t="s">
        <v>2572</v>
      </c>
      <c r="D1457" s="1574"/>
      <c r="E1457" s="1574"/>
      <c r="F1457" s="1574" t="s">
        <v>2443</v>
      </c>
      <c r="G1457" s="1574"/>
      <c r="H1457" s="1574"/>
      <c r="I1457" s="1574"/>
      <c r="J1457" s="1412">
        <v>44802202.200000003</v>
      </c>
      <c r="K1457" s="1412">
        <v>0</v>
      </c>
      <c r="L1457" s="1412">
        <v>0</v>
      </c>
      <c r="M1457" s="1575">
        <v>273204.92</v>
      </c>
      <c r="N1457" s="1575"/>
      <c r="O1457" s="1575">
        <v>44528997.280000001</v>
      </c>
      <c r="P1457" s="1575"/>
      <c r="Q1457" s="1575">
        <v>0</v>
      </c>
      <c r="R1457" s="1575"/>
      <c r="S1457" s="1575"/>
      <c r="T1457" s="1575"/>
      <c r="U1457" s="1575"/>
    </row>
    <row r="1458" spans="1:21" ht="19.149999999999999" customHeight="1">
      <c r="A1458" s="1574" t="s">
        <v>1322</v>
      </c>
      <c r="B1458" s="1574"/>
      <c r="C1458" s="1574" t="s">
        <v>2573</v>
      </c>
      <c r="D1458" s="1574"/>
      <c r="E1458" s="1574"/>
      <c r="F1458" s="1574" t="s">
        <v>2445</v>
      </c>
      <c r="G1458" s="1574"/>
      <c r="H1458" s="1574"/>
      <c r="I1458" s="1574"/>
      <c r="J1458" s="1412">
        <v>3378785.33</v>
      </c>
      <c r="K1458" s="1412">
        <v>0</v>
      </c>
      <c r="L1458" s="1412">
        <v>0</v>
      </c>
      <c r="M1458" s="1575">
        <v>126656.37</v>
      </c>
      <c r="N1458" s="1575"/>
      <c r="O1458" s="1575">
        <v>3252128.96</v>
      </c>
      <c r="P1458" s="1575"/>
      <c r="Q1458" s="1575">
        <v>0</v>
      </c>
      <c r="R1458" s="1575"/>
      <c r="S1458" s="1575"/>
      <c r="T1458" s="1575"/>
      <c r="U1458" s="1575"/>
    </row>
    <row r="1459" spans="1:21" ht="19.149999999999999" customHeight="1">
      <c r="A1459" s="1574" t="s">
        <v>1322</v>
      </c>
      <c r="B1459" s="1574"/>
      <c r="C1459" s="1574" t="s">
        <v>2574</v>
      </c>
      <c r="D1459" s="1574"/>
      <c r="E1459" s="1574"/>
      <c r="F1459" s="1574" t="s">
        <v>2443</v>
      </c>
      <c r="G1459" s="1574"/>
      <c r="H1459" s="1574"/>
      <c r="I1459" s="1574"/>
      <c r="J1459" s="1412">
        <v>4902878</v>
      </c>
      <c r="K1459" s="1412">
        <v>0</v>
      </c>
      <c r="L1459" s="1412">
        <v>0</v>
      </c>
      <c r="M1459" s="1575">
        <v>82586</v>
      </c>
      <c r="N1459" s="1575"/>
      <c r="O1459" s="1575">
        <v>4820292</v>
      </c>
      <c r="P1459" s="1575"/>
      <c r="Q1459" s="1575">
        <v>0</v>
      </c>
      <c r="R1459" s="1575"/>
      <c r="S1459" s="1575"/>
      <c r="T1459" s="1575"/>
      <c r="U1459" s="1575"/>
    </row>
    <row r="1460" spans="1:21" ht="19.149999999999999" customHeight="1">
      <c r="A1460" s="1574" t="s">
        <v>1322</v>
      </c>
      <c r="B1460" s="1574"/>
      <c r="C1460" s="1574" t="s">
        <v>2575</v>
      </c>
      <c r="D1460" s="1574"/>
      <c r="E1460" s="1574"/>
      <c r="F1460" s="1574" t="s">
        <v>2445</v>
      </c>
      <c r="G1460" s="1574"/>
      <c r="H1460" s="1574"/>
      <c r="I1460" s="1574"/>
      <c r="J1460" s="1412">
        <v>1319407.04</v>
      </c>
      <c r="K1460" s="1412">
        <v>0</v>
      </c>
      <c r="L1460" s="1412">
        <v>0</v>
      </c>
      <c r="M1460" s="1575">
        <v>0</v>
      </c>
      <c r="N1460" s="1575"/>
      <c r="O1460" s="1575">
        <v>1319407.04</v>
      </c>
      <c r="P1460" s="1575"/>
      <c r="Q1460" s="1575">
        <v>0</v>
      </c>
      <c r="R1460" s="1575"/>
      <c r="S1460" s="1575"/>
      <c r="T1460" s="1575"/>
      <c r="U1460" s="1575"/>
    </row>
    <row r="1461" spans="1:21" ht="19.149999999999999" customHeight="1">
      <c r="A1461" s="1574" t="s">
        <v>1322</v>
      </c>
      <c r="B1461" s="1574"/>
      <c r="C1461" s="1574" t="s">
        <v>2576</v>
      </c>
      <c r="D1461" s="1574"/>
      <c r="E1461" s="1574"/>
      <c r="F1461" s="1574" t="s">
        <v>2443</v>
      </c>
      <c r="G1461" s="1574"/>
      <c r="H1461" s="1574"/>
      <c r="I1461" s="1574"/>
      <c r="J1461" s="1412">
        <v>5395398.9100000001</v>
      </c>
      <c r="K1461" s="1412">
        <v>0</v>
      </c>
      <c r="L1461" s="1412">
        <v>0</v>
      </c>
      <c r="M1461" s="1575">
        <v>750365.41</v>
      </c>
      <c r="N1461" s="1575"/>
      <c r="O1461" s="1575">
        <v>4645033.5</v>
      </c>
      <c r="P1461" s="1575"/>
      <c r="Q1461" s="1575">
        <v>0</v>
      </c>
      <c r="R1461" s="1575"/>
      <c r="S1461" s="1575"/>
      <c r="T1461" s="1575"/>
      <c r="U1461" s="1575"/>
    </row>
    <row r="1462" spans="1:21" ht="19.149999999999999" customHeight="1">
      <c r="A1462" s="1574" t="s">
        <v>1322</v>
      </c>
      <c r="B1462" s="1574"/>
      <c r="C1462" s="1574" t="s">
        <v>2577</v>
      </c>
      <c r="D1462" s="1574"/>
      <c r="E1462" s="1574"/>
      <c r="F1462" s="1574" t="s">
        <v>2445</v>
      </c>
      <c r="G1462" s="1574"/>
      <c r="H1462" s="1574"/>
      <c r="I1462" s="1574"/>
      <c r="J1462" s="1412">
        <v>1426863.84</v>
      </c>
      <c r="K1462" s="1412">
        <v>0</v>
      </c>
      <c r="L1462" s="1412">
        <v>0</v>
      </c>
      <c r="M1462" s="1575">
        <v>132762</v>
      </c>
      <c r="N1462" s="1575"/>
      <c r="O1462" s="1575">
        <v>1294101.8400000001</v>
      </c>
      <c r="P1462" s="1575"/>
      <c r="Q1462" s="1575">
        <v>0</v>
      </c>
      <c r="R1462" s="1575"/>
      <c r="S1462" s="1575"/>
      <c r="T1462" s="1575"/>
      <c r="U1462" s="1575"/>
    </row>
    <row r="1463" spans="1:21" ht="19.149999999999999" customHeight="1">
      <c r="A1463" s="1574" t="s">
        <v>1322</v>
      </c>
      <c r="B1463" s="1574"/>
      <c r="C1463" s="1574" t="s">
        <v>2578</v>
      </c>
      <c r="D1463" s="1574"/>
      <c r="E1463" s="1574"/>
      <c r="F1463" s="1574" t="s">
        <v>2443</v>
      </c>
      <c r="G1463" s="1574"/>
      <c r="H1463" s="1574"/>
      <c r="I1463" s="1574"/>
      <c r="J1463" s="1412">
        <v>1185297</v>
      </c>
      <c r="K1463" s="1412">
        <v>0</v>
      </c>
      <c r="L1463" s="1412">
        <v>0</v>
      </c>
      <c r="M1463" s="1575">
        <v>5946</v>
      </c>
      <c r="N1463" s="1575"/>
      <c r="O1463" s="1575">
        <v>1179351</v>
      </c>
      <c r="P1463" s="1575"/>
      <c r="Q1463" s="1575">
        <v>0</v>
      </c>
      <c r="R1463" s="1575"/>
      <c r="S1463" s="1575"/>
      <c r="T1463" s="1575"/>
      <c r="U1463" s="1575"/>
    </row>
    <row r="1464" spans="1:21" ht="19.149999999999999" customHeight="1">
      <c r="A1464" s="1574" t="s">
        <v>1322</v>
      </c>
      <c r="B1464" s="1574"/>
      <c r="C1464" s="1574" t="s">
        <v>2579</v>
      </c>
      <c r="D1464" s="1574"/>
      <c r="E1464" s="1574"/>
      <c r="F1464" s="1574" t="s">
        <v>2445</v>
      </c>
      <c r="G1464" s="1574"/>
      <c r="H1464" s="1574"/>
      <c r="I1464" s="1574"/>
      <c r="J1464" s="1412">
        <v>610634.61</v>
      </c>
      <c r="K1464" s="1412">
        <v>0</v>
      </c>
      <c r="L1464" s="1412">
        <v>0</v>
      </c>
      <c r="M1464" s="1575">
        <v>278427.08</v>
      </c>
      <c r="N1464" s="1575"/>
      <c r="O1464" s="1575">
        <v>332207.53000000003</v>
      </c>
      <c r="P1464" s="1575"/>
      <c r="Q1464" s="1575">
        <v>0</v>
      </c>
      <c r="R1464" s="1575"/>
      <c r="S1464" s="1575"/>
      <c r="T1464" s="1575"/>
      <c r="U1464" s="1575"/>
    </row>
    <row r="1465" spans="1:21" ht="19.149999999999999" customHeight="1">
      <c r="A1465" s="1574" t="s">
        <v>1322</v>
      </c>
      <c r="B1465" s="1574"/>
      <c r="C1465" s="1574" t="s">
        <v>2580</v>
      </c>
      <c r="D1465" s="1574"/>
      <c r="E1465" s="1574"/>
      <c r="F1465" s="1574" t="s">
        <v>2387</v>
      </c>
      <c r="G1465" s="1574"/>
      <c r="H1465" s="1574"/>
      <c r="I1465" s="1574"/>
      <c r="J1465" s="1412">
        <v>1085190.6499999999</v>
      </c>
      <c r="K1465" s="1412">
        <v>0</v>
      </c>
      <c r="L1465" s="1412">
        <v>0</v>
      </c>
      <c r="M1465" s="1575">
        <v>348709.8</v>
      </c>
      <c r="N1465" s="1575"/>
      <c r="O1465" s="1575">
        <v>736480.85</v>
      </c>
      <c r="P1465" s="1575"/>
      <c r="Q1465" s="1575">
        <v>0</v>
      </c>
      <c r="R1465" s="1575"/>
      <c r="S1465" s="1575"/>
      <c r="T1465" s="1575"/>
      <c r="U1465" s="1575"/>
    </row>
    <row r="1466" spans="1:21" ht="19.149999999999999" customHeight="1">
      <c r="A1466" s="1574" t="s">
        <v>1322</v>
      </c>
      <c r="B1466" s="1574"/>
      <c r="C1466" s="1574" t="s">
        <v>2581</v>
      </c>
      <c r="D1466" s="1574"/>
      <c r="E1466" s="1574"/>
      <c r="F1466" s="1574" t="s">
        <v>2390</v>
      </c>
      <c r="G1466" s="1574"/>
      <c r="H1466" s="1574"/>
      <c r="I1466" s="1574"/>
      <c r="J1466" s="1412">
        <v>687732</v>
      </c>
      <c r="K1466" s="1412">
        <v>0</v>
      </c>
      <c r="L1466" s="1412">
        <v>0</v>
      </c>
      <c r="M1466" s="1575">
        <v>593152.66</v>
      </c>
      <c r="N1466" s="1575"/>
      <c r="O1466" s="1575">
        <v>94579.34</v>
      </c>
      <c r="P1466" s="1575"/>
      <c r="Q1466" s="1575">
        <v>0</v>
      </c>
      <c r="R1466" s="1575"/>
      <c r="S1466" s="1575"/>
      <c r="T1466" s="1575"/>
      <c r="U1466" s="1575"/>
    </row>
    <row r="1467" spans="1:21" ht="19.149999999999999" customHeight="1">
      <c r="A1467" s="1574" t="s">
        <v>1322</v>
      </c>
      <c r="B1467" s="1574"/>
      <c r="C1467" s="1574" t="s">
        <v>2582</v>
      </c>
      <c r="D1467" s="1574"/>
      <c r="E1467" s="1574"/>
      <c r="F1467" s="1574" t="s">
        <v>2392</v>
      </c>
      <c r="G1467" s="1574"/>
      <c r="H1467" s="1574"/>
      <c r="I1467" s="1574"/>
      <c r="J1467" s="1412">
        <v>39082.03</v>
      </c>
      <c r="K1467" s="1412">
        <v>0</v>
      </c>
      <c r="L1467" s="1412">
        <v>0</v>
      </c>
      <c r="M1467" s="1575">
        <v>29059.17</v>
      </c>
      <c r="N1467" s="1575"/>
      <c r="O1467" s="1575">
        <v>10022.86</v>
      </c>
      <c r="P1467" s="1575"/>
      <c r="Q1467" s="1575">
        <v>0</v>
      </c>
      <c r="R1467" s="1575"/>
      <c r="S1467" s="1575"/>
      <c r="T1467" s="1575"/>
      <c r="U1467" s="1575"/>
    </row>
    <row r="1468" spans="1:21" ht="19.149999999999999" customHeight="1">
      <c r="A1468" s="1574" t="s">
        <v>1322</v>
      </c>
      <c r="B1468" s="1574"/>
      <c r="C1468" s="1574" t="s">
        <v>2583</v>
      </c>
      <c r="D1468" s="1574"/>
      <c r="E1468" s="1574"/>
      <c r="F1468" s="1574" t="s">
        <v>2394</v>
      </c>
      <c r="G1468" s="1574"/>
      <c r="H1468" s="1574"/>
      <c r="I1468" s="1574"/>
      <c r="J1468" s="1412">
        <v>96000</v>
      </c>
      <c r="K1468" s="1412">
        <v>0</v>
      </c>
      <c r="L1468" s="1412">
        <v>0</v>
      </c>
      <c r="M1468" s="1575">
        <v>0</v>
      </c>
      <c r="N1468" s="1575"/>
      <c r="O1468" s="1575">
        <v>96000</v>
      </c>
      <c r="P1468" s="1575"/>
      <c r="Q1468" s="1575">
        <v>0</v>
      </c>
      <c r="R1468" s="1575"/>
      <c r="S1468" s="1575"/>
      <c r="T1468" s="1575"/>
      <c r="U1468" s="1575"/>
    </row>
    <row r="1469" spans="1:21" ht="19.149999999999999" customHeight="1">
      <c r="A1469" s="1574" t="s">
        <v>1322</v>
      </c>
      <c r="B1469" s="1574"/>
      <c r="C1469" s="1574" t="s">
        <v>2584</v>
      </c>
      <c r="D1469" s="1574"/>
      <c r="E1469" s="1574"/>
      <c r="F1469" s="1574" t="s">
        <v>2396</v>
      </c>
      <c r="G1469" s="1574"/>
      <c r="H1469" s="1574"/>
      <c r="I1469" s="1574"/>
      <c r="J1469" s="1412">
        <v>212402.4</v>
      </c>
      <c r="K1469" s="1412">
        <v>0</v>
      </c>
      <c r="L1469" s="1412">
        <v>0</v>
      </c>
      <c r="M1469" s="1575">
        <v>88921.04</v>
      </c>
      <c r="N1469" s="1575"/>
      <c r="O1469" s="1575">
        <v>123481.36</v>
      </c>
      <c r="P1469" s="1575"/>
      <c r="Q1469" s="1575">
        <v>0</v>
      </c>
      <c r="R1469" s="1575"/>
      <c r="S1469" s="1575"/>
      <c r="T1469" s="1575"/>
      <c r="U1469" s="1575"/>
    </row>
    <row r="1470" spans="1:21" ht="19.149999999999999" customHeight="1">
      <c r="A1470" s="1574" t="s">
        <v>1322</v>
      </c>
      <c r="B1470" s="1574"/>
      <c r="C1470" s="1574" t="s">
        <v>2585</v>
      </c>
      <c r="D1470" s="1574"/>
      <c r="E1470" s="1574"/>
      <c r="F1470" s="1574" t="s">
        <v>2398</v>
      </c>
      <c r="G1470" s="1574"/>
      <c r="H1470" s="1574"/>
      <c r="I1470" s="1574"/>
      <c r="J1470" s="1412">
        <v>-11212.99</v>
      </c>
      <c r="K1470" s="1412">
        <v>0</v>
      </c>
      <c r="L1470" s="1412">
        <v>13805.88</v>
      </c>
      <c r="M1470" s="1575">
        <v>2592.89</v>
      </c>
      <c r="N1470" s="1575"/>
      <c r="O1470" s="1575">
        <v>0</v>
      </c>
      <c r="P1470" s="1575"/>
      <c r="Q1470" s="1575">
        <v>0</v>
      </c>
      <c r="R1470" s="1575"/>
      <c r="S1470" s="1575"/>
      <c r="T1470" s="1575"/>
      <c r="U1470" s="1575"/>
    </row>
    <row r="1471" spans="1:21" ht="19.149999999999999" customHeight="1">
      <c r="A1471" s="1574" t="s">
        <v>1322</v>
      </c>
      <c r="B1471" s="1574"/>
      <c r="C1471" s="1574" t="s">
        <v>2586</v>
      </c>
      <c r="D1471" s="1574"/>
      <c r="E1471" s="1574"/>
      <c r="F1471" s="1574" t="s">
        <v>2400</v>
      </c>
      <c r="G1471" s="1574"/>
      <c r="H1471" s="1574"/>
      <c r="I1471" s="1574"/>
      <c r="J1471" s="1412">
        <v>9333.48</v>
      </c>
      <c r="K1471" s="1412">
        <v>0</v>
      </c>
      <c r="L1471" s="1412">
        <v>0</v>
      </c>
      <c r="M1471" s="1575">
        <v>0</v>
      </c>
      <c r="N1471" s="1575"/>
      <c r="O1471" s="1575">
        <v>9333.48</v>
      </c>
      <c r="P1471" s="1575"/>
      <c r="Q1471" s="1575">
        <v>0</v>
      </c>
      <c r="R1471" s="1575"/>
      <c r="S1471" s="1575"/>
      <c r="T1471" s="1575"/>
      <c r="U1471" s="1575"/>
    </row>
    <row r="1472" spans="1:21" ht="19.149999999999999" customHeight="1">
      <c r="A1472" s="1574" t="s">
        <v>1322</v>
      </c>
      <c r="B1472" s="1574"/>
      <c r="C1472" s="1574" t="s">
        <v>2587</v>
      </c>
      <c r="D1472" s="1574"/>
      <c r="E1472" s="1574"/>
      <c r="F1472" s="1574" t="s">
        <v>2402</v>
      </c>
      <c r="G1472" s="1574"/>
      <c r="H1472" s="1574"/>
      <c r="I1472" s="1574"/>
      <c r="J1472" s="1412">
        <v>27580.799999999999</v>
      </c>
      <c r="K1472" s="1412">
        <v>0</v>
      </c>
      <c r="L1472" s="1412">
        <v>0</v>
      </c>
      <c r="M1472" s="1575">
        <v>21508.799999999999</v>
      </c>
      <c r="N1472" s="1575"/>
      <c r="O1472" s="1575">
        <v>6072</v>
      </c>
      <c r="P1472" s="1575"/>
      <c r="Q1472" s="1575">
        <v>0</v>
      </c>
      <c r="R1472" s="1575"/>
      <c r="S1472" s="1575"/>
      <c r="T1472" s="1575"/>
      <c r="U1472" s="1575"/>
    </row>
    <row r="1473" spans="1:23" ht="19.149999999999999" customHeight="1">
      <c r="A1473" s="1574" t="s">
        <v>1322</v>
      </c>
      <c r="B1473" s="1574"/>
      <c r="C1473" s="1574" t="s">
        <v>2588</v>
      </c>
      <c r="D1473" s="1574"/>
      <c r="E1473" s="1574"/>
      <c r="F1473" s="1574" t="s">
        <v>2462</v>
      </c>
      <c r="G1473" s="1574"/>
      <c r="H1473" s="1574"/>
      <c r="I1473" s="1574"/>
      <c r="J1473" s="1412">
        <v>114214.86</v>
      </c>
      <c r="K1473" s="1412">
        <v>0</v>
      </c>
      <c r="L1473" s="1412">
        <v>0</v>
      </c>
      <c r="M1473" s="1575">
        <v>5926.07</v>
      </c>
      <c r="N1473" s="1575"/>
      <c r="O1473" s="1575">
        <v>108288.79</v>
      </c>
      <c r="P1473" s="1575"/>
      <c r="Q1473" s="1575">
        <v>0</v>
      </c>
      <c r="R1473" s="1575"/>
      <c r="S1473" s="1575"/>
      <c r="T1473" s="1575"/>
      <c r="U1473" s="1575"/>
    </row>
    <row r="1474" spans="1:23" ht="19.149999999999999" customHeight="1">
      <c r="A1474" s="1574" t="s">
        <v>1322</v>
      </c>
      <c r="B1474" s="1574"/>
      <c r="C1474" s="1574" t="s">
        <v>2589</v>
      </c>
      <c r="D1474" s="1574"/>
      <c r="E1474" s="1574"/>
      <c r="F1474" s="1574" t="s">
        <v>2464</v>
      </c>
      <c r="G1474" s="1574"/>
      <c r="H1474" s="1574"/>
      <c r="I1474" s="1574"/>
      <c r="J1474" s="1412">
        <v>181887.67</v>
      </c>
      <c r="K1474" s="1412">
        <v>0</v>
      </c>
      <c r="L1474" s="1412">
        <v>0</v>
      </c>
      <c r="M1474" s="1575">
        <v>0</v>
      </c>
      <c r="N1474" s="1575"/>
      <c r="O1474" s="1575">
        <v>181887.67</v>
      </c>
      <c r="P1474" s="1575"/>
      <c r="Q1474" s="1575">
        <v>0</v>
      </c>
      <c r="R1474" s="1575"/>
      <c r="S1474" s="1575"/>
      <c r="T1474" s="1575"/>
      <c r="U1474" s="1575"/>
    </row>
    <row r="1475" spans="1:23" ht="19.149999999999999" customHeight="1">
      <c r="A1475" s="1574" t="s">
        <v>1322</v>
      </c>
      <c r="B1475" s="1574"/>
      <c r="C1475" s="1574" t="s">
        <v>2590</v>
      </c>
      <c r="D1475" s="1574"/>
      <c r="E1475" s="1574"/>
      <c r="F1475" s="1574" t="s">
        <v>2466</v>
      </c>
      <c r="G1475" s="1574"/>
      <c r="H1475" s="1574"/>
      <c r="I1475" s="1574"/>
      <c r="J1475" s="1412">
        <v>23476.1</v>
      </c>
      <c r="K1475" s="1412">
        <v>0</v>
      </c>
      <c r="L1475" s="1412">
        <v>0</v>
      </c>
      <c r="M1475" s="1575">
        <v>8564</v>
      </c>
      <c r="N1475" s="1575"/>
      <c r="O1475" s="1575">
        <v>14912.1</v>
      </c>
      <c r="P1475" s="1575"/>
      <c r="Q1475" s="1575">
        <v>0</v>
      </c>
      <c r="R1475" s="1575"/>
      <c r="S1475" s="1575"/>
      <c r="T1475" s="1575"/>
      <c r="U1475" s="1575"/>
    </row>
    <row r="1476" spans="1:23" ht="19.149999999999999" customHeight="1">
      <c r="A1476" s="1574" t="s">
        <v>1322</v>
      </c>
      <c r="B1476" s="1574"/>
      <c r="C1476" s="1574" t="s">
        <v>2591</v>
      </c>
      <c r="D1476" s="1574"/>
      <c r="E1476" s="1574"/>
      <c r="F1476" s="1574" t="s">
        <v>2468</v>
      </c>
      <c r="G1476" s="1574"/>
      <c r="H1476" s="1574"/>
      <c r="I1476" s="1574"/>
      <c r="J1476" s="1412">
        <v>4183.75</v>
      </c>
      <c r="K1476" s="1412">
        <v>0</v>
      </c>
      <c r="L1476" s="1412">
        <v>0</v>
      </c>
      <c r="M1476" s="1575">
        <v>2586.8000000000002</v>
      </c>
      <c r="N1476" s="1575"/>
      <c r="O1476" s="1575">
        <v>1596.95</v>
      </c>
      <c r="P1476" s="1575"/>
      <c r="Q1476" s="1575">
        <v>0</v>
      </c>
      <c r="R1476" s="1575"/>
      <c r="S1476" s="1575"/>
      <c r="T1476" s="1575"/>
      <c r="U1476" s="1575"/>
    </row>
    <row r="1477" spans="1:23" ht="19.149999999999999" customHeight="1">
      <c r="A1477" s="1574" t="s">
        <v>1322</v>
      </c>
      <c r="B1477" s="1574"/>
      <c r="C1477" s="1574" t="s">
        <v>2592</v>
      </c>
      <c r="D1477" s="1574"/>
      <c r="E1477" s="1574"/>
      <c r="F1477" s="1574" t="s">
        <v>2470</v>
      </c>
      <c r="G1477" s="1574"/>
      <c r="H1477" s="1574"/>
      <c r="I1477" s="1574"/>
      <c r="J1477" s="1412">
        <v>1166.82</v>
      </c>
      <c r="K1477" s="1412">
        <v>0</v>
      </c>
      <c r="L1477" s="1412">
        <v>0</v>
      </c>
      <c r="M1477" s="1575">
        <v>0</v>
      </c>
      <c r="N1477" s="1575"/>
      <c r="O1477" s="1575">
        <v>1166.82</v>
      </c>
      <c r="P1477" s="1575"/>
      <c r="Q1477" s="1575">
        <v>0</v>
      </c>
      <c r="R1477" s="1575"/>
      <c r="S1477" s="1575"/>
      <c r="T1477" s="1575"/>
      <c r="U1477" s="1575"/>
    </row>
    <row r="1478" spans="1:23" ht="19.149999999999999" customHeight="1">
      <c r="A1478" s="1574" t="s">
        <v>1322</v>
      </c>
      <c r="B1478" s="1574"/>
      <c r="C1478" s="1574" t="s">
        <v>2593</v>
      </c>
      <c r="D1478" s="1574"/>
      <c r="E1478" s="1574"/>
      <c r="F1478" s="1574" t="s">
        <v>2416</v>
      </c>
      <c r="G1478" s="1574"/>
      <c r="H1478" s="1574"/>
      <c r="I1478" s="1574"/>
      <c r="J1478" s="1412">
        <v>152053.20000000001</v>
      </c>
      <c r="K1478" s="1412">
        <v>0</v>
      </c>
      <c r="L1478" s="1412">
        <v>0</v>
      </c>
      <c r="M1478" s="1575">
        <v>11540.1</v>
      </c>
      <c r="N1478" s="1575"/>
      <c r="O1478" s="1575">
        <v>140513.1</v>
      </c>
      <c r="P1478" s="1575"/>
      <c r="Q1478" s="1575">
        <v>0</v>
      </c>
      <c r="R1478" s="1575"/>
      <c r="S1478" s="1575"/>
      <c r="T1478" s="1575"/>
      <c r="U1478" s="1575"/>
    </row>
    <row r="1479" spans="1:23" ht="6.95" customHeight="1"/>
    <row r="1480" spans="1:23" ht="14.1" customHeight="1">
      <c r="S1480" s="1573" t="s">
        <v>6379</v>
      </c>
      <c r="T1480" s="1573"/>
      <c r="U1480" s="1573"/>
      <c r="V1480" s="1573"/>
      <c r="W1480" s="1573"/>
    </row>
    <row r="1481" spans="1:23" ht="7.15" customHeight="1">
      <c r="C1481" s="1586" t="s">
        <v>2987</v>
      </c>
      <c r="D1481" s="1586"/>
      <c r="E1481" s="1586"/>
      <c r="F1481" s="1586"/>
      <c r="G1481" s="1586"/>
      <c r="H1481" s="1586"/>
      <c r="I1481" s="1586"/>
      <c r="J1481" s="1586"/>
      <c r="K1481" s="1586"/>
      <c r="L1481" s="1586"/>
      <c r="M1481" s="1586"/>
      <c r="N1481" s="1586"/>
      <c r="O1481" s="1586"/>
      <c r="P1481" s="1586"/>
      <c r="Q1481" s="1586"/>
      <c r="R1481" s="1586"/>
      <c r="S1481" s="1586"/>
      <c r="T1481" s="1586"/>
    </row>
    <row r="1482" spans="1:23" ht="9.6" customHeight="1">
      <c r="A1482" s="1587"/>
      <c r="B1482" s="1587"/>
      <c r="C1482" s="1587"/>
      <c r="D1482" s="1587"/>
      <c r="E1482" s="1587"/>
      <c r="F1482" s="1587"/>
      <c r="G1482" s="1586"/>
      <c r="H1482" s="1586"/>
      <c r="I1482" s="1586"/>
      <c r="J1482" s="1586"/>
      <c r="K1482" s="1586"/>
      <c r="L1482" s="1586"/>
      <c r="M1482" s="1586"/>
      <c r="N1482" s="1586"/>
      <c r="O1482" s="1586"/>
      <c r="P1482" s="1586"/>
      <c r="Q1482" s="1586"/>
      <c r="R1482" s="1586"/>
      <c r="S1482" s="1586"/>
      <c r="T1482" s="1586"/>
    </row>
    <row r="1483" spans="1:23" ht="13.35" customHeight="1">
      <c r="A1483" s="1587"/>
      <c r="B1483" s="1587"/>
      <c r="C1483" s="1587"/>
      <c r="D1483" s="1587"/>
      <c r="E1483" s="1587"/>
      <c r="F1483" s="1587"/>
      <c r="G1483" s="1588" t="s">
        <v>79</v>
      </c>
      <c r="H1483" s="1588"/>
      <c r="I1483" s="1588"/>
      <c r="J1483" s="1588"/>
      <c r="K1483" s="1588"/>
      <c r="L1483" s="1588"/>
      <c r="M1483" s="1588"/>
      <c r="N1483" s="1588"/>
      <c r="O1483" s="1588"/>
      <c r="P1483" s="1588"/>
      <c r="Q1483" s="1588"/>
      <c r="R1483" s="1588"/>
    </row>
    <row r="1484" spans="1:23" ht="5.25" customHeight="1">
      <c r="A1484" s="1587"/>
      <c r="B1484" s="1587"/>
      <c r="C1484" s="1587"/>
      <c r="D1484" s="1587"/>
      <c r="E1484" s="1587"/>
      <c r="F1484" s="1587"/>
      <c r="G1484" s="1581" t="s">
        <v>7015</v>
      </c>
      <c r="H1484" s="1581"/>
      <c r="I1484" s="1581"/>
      <c r="J1484" s="1581"/>
      <c r="K1484" s="1581"/>
      <c r="L1484" s="1581"/>
      <c r="M1484" s="1581"/>
      <c r="N1484" s="1581"/>
      <c r="O1484" s="1581"/>
      <c r="P1484" s="1581"/>
      <c r="Q1484" s="1581"/>
    </row>
    <row r="1485" spans="1:23" ht="8.1" customHeight="1">
      <c r="B1485" s="1580" t="s">
        <v>1916</v>
      </c>
      <c r="C1485" s="1580"/>
      <c r="D1485" s="1580"/>
      <c r="E1485" s="1580"/>
      <c r="F1485" s="1580"/>
      <c r="G1485" s="1580"/>
      <c r="H1485" s="1581"/>
      <c r="I1485" s="1581"/>
      <c r="J1485" s="1581"/>
      <c r="K1485" s="1581"/>
      <c r="L1485" s="1581"/>
      <c r="M1485" s="1581"/>
      <c r="N1485" s="1582" t="s">
        <v>5619</v>
      </c>
      <c r="O1485" s="1582"/>
      <c r="P1485" s="1582"/>
      <c r="Q1485" s="1582"/>
      <c r="R1485" s="1582"/>
      <c r="S1485" s="1582"/>
      <c r="T1485" s="1583" t="s">
        <v>7016</v>
      </c>
      <c r="U1485" s="1583"/>
      <c r="V1485" s="1583"/>
      <c r="W1485" s="1583"/>
    </row>
    <row r="1486" spans="1:23" ht="6" customHeight="1">
      <c r="B1486" s="1580"/>
      <c r="C1486" s="1580"/>
      <c r="D1486" s="1580"/>
      <c r="E1486" s="1580"/>
      <c r="F1486" s="1580"/>
      <c r="G1486" s="1580"/>
      <c r="H1486" s="1584" t="s">
        <v>7017</v>
      </c>
      <c r="I1486" s="1584"/>
      <c r="J1486" s="1584"/>
      <c r="K1486" s="1584"/>
      <c r="L1486" s="1584"/>
      <c r="M1486" s="1584"/>
      <c r="N1486" s="1582"/>
      <c r="O1486" s="1582"/>
      <c r="P1486" s="1582"/>
      <c r="Q1486" s="1582"/>
      <c r="R1486" s="1582"/>
      <c r="S1486" s="1582"/>
      <c r="T1486" s="1583"/>
      <c r="U1486" s="1583"/>
      <c r="V1486" s="1583"/>
      <c r="W1486" s="1583"/>
    </row>
    <row r="1487" spans="1:23" ht="7.35" customHeight="1">
      <c r="B1487" s="1580" t="s">
        <v>1994</v>
      </c>
      <c r="C1487" s="1580"/>
      <c r="D1487" s="1580"/>
      <c r="E1487" s="1585"/>
      <c r="F1487" s="1585"/>
      <c r="G1487" s="1585"/>
      <c r="H1487" s="1585"/>
      <c r="I1487" s="1585"/>
      <c r="J1487" s="1585"/>
      <c r="K1487" s="1585"/>
      <c r="L1487" s="1585"/>
      <c r="M1487" s="1585"/>
      <c r="N1487" s="1585"/>
      <c r="O1487" s="1585"/>
      <c r="P1487" s="1585"/>
      <c r="Q1487" s="1585"/>
      <c r="R1487" s="1582"/>
      <c r="S1487" s="1582"/>
      <c r="T1487" s="1582" t="s">
        <v>7018</v>
      </c>
      <c r="U1487" s="1582"/>
    </row>
    <row r="1488" spans="1:23" ht="6.75" customHeight="1">
      <c r="E1488" s="1585"/>
      <c r="F1488" s="1585"/>
      <c r="G1488" s="1585"/>
      <c r="H1488" s="1585"/>
      <c r="I1488" s="1585"/>
      <c r="J1488" s="1585"/>
      <c r="K1488" s="1585"/>
      <c r="L1488" s="1585"/>
      <c r="M1488" s="1585"/>
      <c r="N1488" s="1585"/>
      <c r="O1488" s="1585"/>
      <c r="P1488" s="1585"/>
      <c r="Q1488" s="1585"/>
      <c r="R1488" s="1582"/>
      <c r="S1488" s="1582"/>
      <c r="T1488" s="1582"/>
      <c r="U1488" s="1582"/>
    </row>
    <row r="1489" spans="1:21" ht="10.9" customHeight="1">
      <c r="A1489" s="1576"/>
      <c r="B1489" s="1576"/>
      <c r="C1489" s="1576"/>
      <c r="D1489" s="1576"/>
      <c r="E1489" s="1576"/>
      <c r="F1489" s="1576"/>
      <c r="G1489" s="1576"/>
      <c r="H1489" s="1576"/>
      <c r="I1489" s="1576"/>
      <c r="J1489" s="1577" t="s">
        <v>1314</v>
      </c>
      <c r="K1489" s="1577"/>
      <c r="L1489" s="1577" t="s">
        <v>1315</v>
      </c>
      <c r="M1489" s="1577"/>
      <c r="N1489" s="1577"/>
      <c r="O1489" s="1577" t="s">
        <v>1316</v>
      </c>
      <c r="P1489" s="1577"/>
      <c r="Q1489" s="1577"/>
      <c r="R1489" s="1577"/>
      <c r="S1489" s="1577"/>
      <c r="T1489" s="1577"/>
      <c r="U1489" s="1577"/>
    </row>
    <row r="1490" spans="1:21" ht="14.1" customHeight="1">
      <c r="A1490" s="1578" t="s">
        <v>1317</v>
      </c>
      <c r="B1490" s="1578"/>
      <c r="C1490" s="1578" t="s">
        <v>1318</v>
      </c>
      <c r="D1490" s="1578"/>
      <c r="E1490" s="1578"/>
      <c r="F1490" s="1578" t="s">
        <v>1319</v>
      </c>
      <c r="G1490" s="1578"/>
      <c r="H1490" s="1578"/>
      <c r="I1490" s="1578"/>
      <c r="J1490" s="1413" t="s">
        <v>1320</v>
      </c>
      <c r="K1490" s="1413" t="s">
        <v>1321</v>
      </c>
      <c r="L1490" s="1413" t="s">
        <v>1320</v>
      </c>
      <c r="M1490" s="1579" t="s">
        <v>1321</v>
      </c>
      <c r="N1490" s="1579"/>
      <c r="O1490" s="1579" t="s">
        <v>1320</v>
      </c>
      <c r="P1490" s="1579"/>
      <c r="Q1490" s="1579" t="s">
        <v>1321</v>
      </c>
      <c r="R1490" s="1579"/>
      <c r="S1490" s="1579"/>
      <c r="T1490" s="1579"/>
      <c r="U1490" s="1579"/>
    </row>
    <row r="1491" spans="1:21" ht="22.5" customHeight="1">
      <c r="A1491" s="1574" t="s">
        <v>1322</v>
      </c>
      <c r="B1491" s="1574"/>
      <c r="C1491" s="1574" t="s">
        <v>2595</v>
      </c>
      <c r="D1491" s="1574"/>
      <c r="E1491" s="1574"/>
      <c r="F1491" s="1574" t="s">
        <v>2418</v>
      </c>
      <c r="G1491" s="1574"/>
      <c r="H1491" s="1574"/>
      <c r="I1491" s="1574"/>
      <c r="J1491" s="1412">
        <v>105550.76</v>
      </c>
      <c r="K1491" s="1412">
        <v>0</v>
      </c>
      <c r="L1491" s="1412">
        <v>0</v>
      </c>
      <c r="M1491" s="1575">
        <v>36630.99</v>
      </c>
      <c r="N1491" s="1575"/>
      <c r="O1491" s="1575">
        <v>68919.77</v>
      </c>
      <c r="P1491" s="1575"/>
      <c r="Q1491" s="1575">
        <v>0</v>
      </c>
      <c r="R1491" s="1575"/>
      <c r="S1491" s="1575"/>
      <c r="T1491" s="1575"/>
      <c r="U1491" s="1575"/>
    </row>
    <row r="1492" spans="1:21" ht="19.149999999999999" customHeight="1">
      <c r="A1492" s="1574" t="s">
        <v>1322</v>
      </c>
      <c r="B1492" s="1574"/>
      <c r="C1492" s="1574" t="s">
        <v>2596</v>
      </c>
      <c r="D1492" s="1574"/>
      <c r="E1492" s="1574"/>
      <c r="F1492" s="1574" t="s">
        <v>2474</v>
      </c>
      <c r="G1492" s="1574"/>
      <c r="H1492" s="1574"/>
      <c r="I1492" s="1574"/>
      <c r="J1492" s="1412">
        <v>10993</v>
      </c>
      <c r="K1492" s="1412">
        <v>0</v>
      </c>
      <c r="L1492" s="1412">
        <v>0</v>
      </c>
      <c r="M1492" s="1575">
        <v>4793.03</v>
      </c>
      <c r="N1492" s="1575"/>
      <c r="O1492" s="1575">
        <v>6199.97</v>
      </c>
      <c r="P1492" s="1575"/>
      <c r="Q1492" s="1575">
        <v>0</v>
      </c>
      <c r="R1492" s="1575"/>
      <c r="S1492" s="1575"/>
      <c r="T1492" s="1575"/>
      <c r="U1492" s="1575"/>
    </row>
    <row r="1493" spans="1:21" ht="19.149999999999999" customHeight="1">
      <c r="A1493" s="1574" t="s">
        <v>1322</v>
      </c>
      <c r="B1493" s="1574"/>
      <c r="C1493" s="1574" t="s">
        <v>2597</v>
      </c>
      <c r="D1493" s="1574"/>
      <c r="E1493" s="1574"/>
      <c r="F1493" s="1574" t="s">
        <v>2476</v>
      </c>
      <c r="G1493" s="1574"/>
      <c r="H1493" s="1574"/>
      <c r="I1493" s="1574"/>
      <c r="J1493" s="1412">
        <v>127117.6</v>
      </c>
      <c r="K1493" s="1412">
        <v>0</v>
      </c>
      <c r="L1493" s="1412">
        <v>0</v>
      </c>
      <c r="M1493" s="1575">
        <v>74199.78</v>
      </c>
      <c r="N1493" s="1575"/>
      <c r="O1493" s="1575">
        <v>52917.82</v>
      </c>
      <c r="P1493" s="1575"/>
      <c r="Q1493" s="1575">
        <v>0</v>
      </c>
      <c r="R1493" s="1575"/>
      <c r="S1493" s="1575"/>
      <c r="T1493" s="1575"/>
      <c r="U1493" s="1575"/>
    </row>
    <row r="1494" spans="1:21" ht="19.149999999999999" customHeight="1">
      <c r="A1494" s="1574" t="s">
        <v>1322</v>
      </c>
      <c r="B1494" s="1574"/>
      <c r="C1494" s="1574" t="s">
        <v>2598</v>
      </c>
      <c r="D1494" s="1574"/>
      <c r="E1494" s="1574"/>
      <c r="F1494" s="1574" t="s">
        <v>2478</v>
      </c>
      <c r="G1494" s="1574"/>
      <c r="H1494" s="1574"/>
      <c r="I1494" s="1574"/>
      <c r="J1494" s="1412">
        <v>25452.560000000001</v>
      </c>
      <c r="K1494" s="1412">
        <v>0</v>
      </c>
      <c r="L1494" s="1412">
        <v>0</v>
      </c>
      <c r="M1494" s="1575">
        <v>0</v>
      </c>
      <c r="N1494" s="1575"/>
      <c r="O1494" s="1575">
        <v>25452.560000000001</v>
      </c>
      <c r="P1494" s="1575"/>
      <c r="Q1494" s="1575">
        <v>0</v>
      </c>
      <c r="R1494" s="1575"/>
      <c r="S1494" s="1575"/>
      <c r="T1494" s="1575"/>
      <c r="U1494" s="1575"/>
    </row>
    <row r="1495" spans="1:21" ht="19.149999999999999" customHeight="1">
      <c r="A1495" s="1574" t="s">
        <v>1322</v>
      </c>
      <c r="B1495" s="1574"/>
      <c r="C1495" s="1574" t="s">
        <v>2599</v>
      </c>
      <c r="D1495" s="1574"/>
      <c r="E1495" s="1574"/>
      <c r="F1495" s="1574" t="s">
        <v>2480</v>
      </c>
      <c r="G1495" s="1574"/>
      <c r="H1495" s="1574"/>
      <c r="I1495" s="1574"/>
      <c r="J1495" s="1412">
        <v>13000</v>
      </c>
      <c r="K1495" s="1412">
        <v>0</v>
      </c>
      <c r="L1495" s="1412">
        <v>0</v>
      </c>
      <c r="M1495" s="1575">
        <v>0</v>
      </c>
      <c r="N1495" s="1575"/>
      <c r="O1495" s="1575">
        <v>13000</v>
      </c>
      <c r="P1495" s="1575"/>
      <c r="Q1495" s="1575">
        <v>0</v>
      </c>
      <c r="R1495" s="1575"/>
      <c r="S1495" s="1575"/>
      <c r="T1495" s="1575"/>
      <c r="U1495" s="1575"/>
    </row>
    <row r="1496" spans="1:21" ht="19.149999999999999" customHeight="1">
      <c r="A1496" s="1574" t="s">
        <v>1322</v>
      </c>
      <c r="B1496" s="1574"/>
      <c r="C1496" s="1574" t="s">
        <v>2600</v>
      </c>
      <c r="D1496" s="1574"/>
      <c r="E1496" s="1574"/>
      <c r="F1496" s="1574" t="s">
        <v>2482</v>
      </c>
      <c r="G1496" s="1574"/>
      <c r="H1496" s="1574"/>
      <c r="I1496" s="1574"/>
      <c r="J1496" s="1412">
        <v>6600</v>
      </c>
      <c r="K1496" s="1412">
        <v>0</v>
      </c>
      <c r="L1496" s="1412">
        <v>0</v>
      </c>
      <c r="M1496" s="1575">
        <v>3150</v>
      </c>
      <c r="N1496" s="1575"/>
      <c r="O1496" s="1575">
        <v>3450</v>
      </c>
      <c r="P1496" s="1575"/>
      <c r="Q1496" s="1575">
        <v>0</v>
      </c>
      <c r="R1496" s="1575"/>
      <c r="S1496" s="1575"/>
      <c r="T1496" s="1575"/>
      <c r="U1496" s="1575"/>
    </row>
    <row r="1497" spans="1:21" ht="19.149999999999999" customHeight="1">
      <c r="A1497" s="1574" t="s">
        <v>1322</v>
      </c>
      <c r="B1497" s="1574"/>
      <c r="C1497" s="1574" t="s">
        <v>2601</v>
      </c>
      <c r="D1497" s="1574"/>
      <c r="E1497" s="1574"/>
      <c r="F1497" s="1574" t="s">
        <v>2484</v>
      </c>
      <c r="G1497" s="1574"/>
      <c r="H1497" s="1574"/>
      <c r="I1497" s="1574"/>
      <c r="J1497" s="1412">
        <v>274888</v>
      </c>
      <c r="K1497" s="1412">
        <v>0</v>
      </c>
      <c r="L1497" s="1412">
        <v>0</v>
      </c>
      <c r="M1497" s="1575">
        <v>0</v>
      </c>
      <c r="N1497" s="1575"/>
      <c r="O1497" s="1575">
        <v>274888</v>
      </c>
      <c r="P1497" s="1575"/>
      <c r="Q1497" s="1575">
        <v>0</v>
      </c>
      <c r="R1497" s="1575"/>
      <c r="S1497" s="1575"/>
      <c r="T1497" s="1575"/>
      <c r="U1497" s="1575"/>
    </row>
    <row r="1498" spans="1:21" ht="19.149999999999999" customHeight="1">
      <c r="A1498" s="1574" t="s">
        <v>1322</v>
      </c>
      <c r="B1498" s="1574"/>
      <c r="C1498" s="1574" t="s">
        <v>2602</v>
      </c>
      <c r="D1498" s="1574"/>
      <c r="E1498" s="1574"/>
      <c r="F1498" s="1574" t="s">
        <v>2486</v>
      </c>
      <c r="G1498" s="1574"/>
      <c r="H1498" s="1574"/>
      <c r="I1498" s="1574"/>
      <c r="J1498" s="1412">
        <v>62458.86</v>
      </c>
      <c r="K1498" s="1412">
        <v>0</v>
      </c>
      <c r="L1498" s="1412">
        <v>0</v>
      </c>
      <c r="M1498" s="1575">
        <v>20972.55</v>
      </c>
      <c r="N1498" s="1575"/>
      <c r="O1498" s="1575">
        <v>41486.31</v>
      </c>
      <c r="P1498" s="1575"/>
      <c r="Q1498" s="1575">
        <v>0</v>
      </c>
      <c r="R1498" s="1575"/>
      <c r="S1498" s="1575"/>
      <c r="T1498" s="1575"/>
      <c r="U1498" s="1575"/>
    </row>
    <row r="1499" spans="1:21" ht="19.149999999999999" customHeight="1">
      <c r="A1499" s="1574" t="s">
        <v>1322</v>
      </c>
      <c r="B1499" s="1574"/>
      <c r="C1499" s="1574" t="s">
        <v>2603</v>
      </c>
      <c r="D1499" s="1574"/>
      <c r="E1499" s="1574"/>
      <c r="F1499" s="1574" t="s">
        <v>2488</v>
      </c>
      <c r="G1499" s="1574"/>
      <c r="H1499" s="1574"/>
      <c r="I1499" s="1574"/>
      <c r="J1499" s="1412">
        <v>113185.28</v>
      </c>
      <c r="K1499" s="1412">
        <v>0</v>
      </c>
      <c r="L1499" s="1412">
        <v>0</v>
      </c>
      <c r="M1499" s="1575">
        <v>689.66</v>
      </c>
      <c r="N1499" s="1575"/>
      <c r="O1499" s="1575">
        <v>112495.62</v>
      </c>
      <c r="P1499" s="1575"/>
      <c r="Q1499" s="1575">
        <v>0</v>
      </c>
      <c r="R1499" s="1575"/>
      <c r="S1499" s="1575"/>
      <c r="T1499" s="1575"/>
      <c r="U1499" s="1575"/>
    </row>
    <row r="1500" spans="1:21" ht="19.149999999999999" customHeight="1">
      <c r="A1500" s="1574" t="s">
        <v>1322</v>
      </c>
      <c r="B1500" s="1574"/>
      <c r="C1500" s="1574" t="s">
        <v>2604</v>
      </c>
      <c r="D1500" s="1574"/>
      <c r="E1500" s="1574"/>
      <c r="F1500" s="1574" t="s">
        <v>2490</v>
      </c>
      <c r="G1500" s="1574"/>
      <c r="H1500" s="1574"/>
      <c r="I1500" s="1574"/>
      <c r="J1500" s="1412">
        <v>11859.55</v>
      </c>
      <c r="K1500" s="1412">
        <v>0</v>
      </c>
      <c r="L1500" s="1412">
        <v>0</v>
      </c>
      <c r="M1500" s="1575">
        <v>2925</v>
      </c>
      <c r="N1500" s="1575"/>
      <c r="O1500" s="1575">
        <v>8934.5499999999993</v>
      </c>
      <c r="P1500" s="1575"/>
      <c r="Q1500" s="1575">
        <v>0</v>
      </c>
      <c r="R1500" s="1575"/>
      <c r="S1500" s="1575"/>
      <c r="T1500" s="1575"/>
      <c r="U1500" s="1575"/>
    </row>
    <row r="1501" spans="1:21" ht="19.149999999999999" customHeight="1">
      <c r="A1501" s="1574" t="s">
        <v>1322</v>
      </c>
      <c r="B1501" s="1574"/>
      <c r="C1501" s="1574" t="s">
        <v>2605</v>
      </c>
      <c r="D1501" s="1574"/>
      <c r="E1501" s="1574"/>
      <c r="F1501" s="1574" t="s">
        <v>2421</v>
      </c>
      <c r="G1501" s="1574"/>
      <c r="H1501" s="1574"/>
      <c r="I1501" s="1574"/>
      <c r="J1501" s="1412">
        <v>96585.56</v>
      </c>
      <c r="K1501" s="1412">
        <v>0</v>
      </c>
      <c r="L1501" s="1412">
        <v>0</v>
      </c>
      <c r="M1501" s="1575">
        <v>7768.56</v>
      </c>
      <c r="N1501" s="1575"/>
      <c r="O1501" s="1575">
        <v>88817</v>
      </c>
      <c r="P1501" s="1575"/>
      <c r="Q1501" s="1575">
        <v>0</v>
      </c>
      <c r="R1501" s="1575"/>
      <c r="S1501" s="1575"/>
      <c r="T1501" s="1575"/>
      <c r="U1501" s="1575"/>
    </row>
    <row r="1502" spans="1:21" ht="19.149999999999999" customHeight="1">
      <c r="A1502" s="1574" t="s">
        <v>1322</v>
      </c>
      <c r="B1502" s="1574"/>
      <c r="C1502" s="1574" t="s">
        <v>2606</v>
      </c>
      <c r="D1502" s="1574"/>
      <c r="E1502" s="1574"/>
      <c r="F1502" s="1574" t="s">
        <v>2493</v>
      </c>
      <c r="G1502" s="1574"/>
      <c r="H1502" s="1574"/>
      <c r="I1502" s="1574"/>
      <c r="J1502" s="1412">
        <v>15981.23</v>
      </c>
      <c r="K1502" s="1412">
        <v>0</v>
      </c>
      <c r="L1502" s="1412">
        <v>0</v>
      </c>
      <c r="M1502" s="1575">
        <v>2213.6999999999998</v>
      </c>
      <c r="N1502" s="1575"/>
      <c r="O1502" s="1575">
        <v>13767.53</v>
      </c>
      <c r="P1502" s="1575"/>
      <c r="Q1502" s="1575">
        <v>0</v>
      </c>
      <c r="R1502" s="1575"/>
      <c r="S1502" s="1575"/>
      <c r="T1502" s="1575"/>
      <c r="U1502" s="1575"/>
    </row>
    <row r="1503" spans="1:21" ht="19.149999999999999" customHeight="1">
      <c r="A1503" s="1574" t="s">
        <v>1322</v>
      </c>
      <c r="B1503" s="1574"/>
      <c r="C1503" s="1574" t="s">
        <v>2607</v>
      </c>
      <c r="D1503" s="1574"/>
      <c r="E1503" s="1574"/>
      <c r="F1503" s="1574" t="s">
        <v>2423</v>
      </c>
      <c r="G1503" s="1574"/>
      <c r="H1503" s="1574"/>
      <c r="I1503" s="1574"/>
      <c r="J1503" s="1412">
        <v>659323.9</v>
      </c>
      <c r="K1503" s="1412">
        <v>0</v>
      </c>
      <c r="L1503" s="1412">
        <v>0</v>
      </c>
      <c r="M1503" s="1575">
        <v>3850.98</v>
      </c>
      <c r="N1503" s="1575"/>
      <c r="O1503" s="1575">
        <v>655472.92000000004</v>
      </c>
      <c r="P1503" s="1575"/>
      <c r="Q1503" s="1575">
        <v>0</v>
      </c>
      <c r="R1503" s="1575"/>
      <c r="S1503" s="1575"/>
      <c r="T1503" s="1575"/>
      <c r="U1503" s="1575"/>
    </row>
    <row r="1504" spans="1:21" ht="19.149999999999999" customHeight="1">
      <c r="A1504" s="1574" t="s">
        <v>1322</v>
      </c>
      <c r="B1504" s="1574"/>
      <c r="C1504" s="1574" t="s">
        <v>2608</v>
      </c>
      <c r="D1504" s="1574"/>
      <c r="E1504" s="1574"/>
      <c r="F1504" s="1574" t="s">
        <v>2496</v>
      </c>
      <c r="G1504" s="1574"/>
      <c r="H1504" s="1574"/>
      <c r="I1504" s="1574"/>
      <c r="J1504" s="1412">
        <v>56000</v>
      </c>
      <c r="K1504" s="1412">
        <v>0</v>
      </c>
      <c r="L1504" s="1412">
        <v>0</v>
      </c>
      <c r="M1504" s="1575">
        <v>0</v>
      </c>
      <c r="N1504" s="1575"/>
      <c r="O1504" s="1575">
        <v>56000</v>
      </c>
      <c r="P1504" s="1575"/>
      <c r="Q1504" s="1575">
        <v>0</v>
      </c>
      <c r="R1504" s="1575"/>
      <c r="S1504" s="1575"/>
      <c r="T1504" s="1575"/>
      <c r="U1504" s="1575"/>
    </row>
    <row r="1505" spans="1:23" ht="19.149999999999999" customHeight="1">
      <c r="A1505" s="1574" t="s">
        <v>1322</v>
      </c>
      <c r="B1505" s="1574"/>
      <c r="C1505" s="1574" t="s">
        <v>2609</v>
      </c>
      <c r="D1505" s="1574"/>
      <c r="E1505" s="1574"/>
      <c r="F1505" s="1574" t="s">
        <v>2498</v>
      </c>
      <c r="G1505" s="1574"/>
      <c r="H1505" s="1574"/>
      <c r="I1505" s="1574"/>
      <c r="J1505" s="1412">
        <v>180165.58</v>
      </c>
      <c r="K1505" s="1412">
        <v>0</v>
      </c>
      <c r="L1505" s="1412">
        <v>0</v>
      </c>
      <c r="M1505" s="1575">
        <v>250</v>
      </c>
      <c r="N1505" s="1575"/>
      <c r="O1505" s="1575">
        <v>179915.58</v>
      </c>
      <c r="P1505" s="1575"/>
      <c r="Q1505" s="1575">
        <v>0</v>
      </c>
      <c r="R1505" s="1575"/>
      <c r="S1505" s="1575"/>
      <c r="T1505" s="1575"/>
      <c r="U1505" s="1575"/>
    </row>
    <row r="1506" spans="1:23" ht="19.149999999999999" customHeight="1">
      <c r="A1506" s="1574" t="s">
        <v>1322</v>
      </c>
      <c r="B1506" s="1574"/>
      <c r="C1506" s="1574" t="s">
        <v>2610</v>
      </c>
      <c r="D1506" s="1574"/>
      <c r="E1506" s="1574"/>
      <c r="F1506" s="1574" t="s">
        <v>2500</v>
      </c>
      <c r="G1506" s="1574"/>
      <c r="H1506" s="1574"/>
      <c r="I1506" s="1574"/>
      <c r="J1506" s="1412">
        <v>42796.75</v>
      </c>
      <c r="K1506" s="1412">
        <v>0</v>
      </c>
      <c r="L1506" s="1412">
        <v>0</v>
      </c>
      <c r="M1506" s="1575">
        <v>16731.84</v>
      </c>
      <c r="N1506" s="1575"/>
      <c r="O1506" s="1575">
        <v>26064.91</v>
      </c>
      <c r="P1506" s="1575"/>
      <c r="Q1506" s="1575">
        <v>0</v>
      </c>
      <c r="R1506" s="1575"/>
      <c r="S1506" s="1575"/>
      <c r="T1506" s="1575"/>
      <c r="U1506" s="1575"/>
    </row>
    <row r="1507" spans="1:23" ht="19.149999999999999" customHeight="1">
      <c r="A1507" s="1574" t="s">
        <v>1322</v>
      </c>
      <c r="B1507" s="1574"/>
      <c r="C1507" s="1574" t="s">
        <v>2611</v>
      </c>
      <c r="D1507" s="1574"/>
      <c r="E1507" s="1574"/>
      <c r="F1507" s="1574" t="s">
        <v>2502</v>
      </c>
      <c r="G1507" s="1574"/>
      <c r="H1507" s="1574"/>
      <c r="I1507" s="1574"/>
      <c r="J1507" s="1412">
        <v>2638738.81</v>
      </c>
      <c r="K1507" s="1412">
        <v>0</v>
      </c>
      <c r="L1507" s="1412">
        <v>0</v>
      </c>
      <c r="M1507" s="1575">
        <v>154247.09</v>
      </c>
      <c r="N1507" s="1575"/>
      <c r="O1507" s="1575">
        <v>2484491.7200000002</v>
      </c>
      <c r="P1507" s="1575"/>
      <c r="Q1507" s="1575">
        <v>0</v>
      </c>
      <c r="R1507" s="1575"/>
      <c r="S1507" s="1575"/>
      <c r="T1507" s="1575"/>
      <c r="U1507" s="1575"/>
    </row>
    <row r="1508" spans="1:23" ht="19.149999999999999" customHeight="1">
      <c r="A1508" s="1574" t="s">
        <v>1322</v>
      </c>
      <c r="B1508" s="1574"/>
      <c r="C1508" s="1574" t="s">
        <v>2612</v>
      </c>
      <c r="D1508" s="1574"/>
      <c r="E1508" s="1574"/>
      <c r="F1508" s="1574" t="s">
        <v>2504</v>
      </c>
      <c r="G1508" s="1574"/>
      <c r="H1508" s="1574"/>
      <c r="I1508" s="1574"/>
      <c r="J1508" s="1412">
        <v>420000</v>
      </c>
      <c r="K1508" s="1412">
        <v>0</v>
      </c>
      <c r="L1508" s="1412">
        <v>0</v>
      </c>
      <c r="M1508" s="1575">
        <v>0</v>
      </c>
      <c r="N1508" s="1575"/>
      <c r="O1508" s="1575">
        <v>420000</v>
      </c>
      <c r="P1508" s="1575"/>
      <c r="Q1508" s="1575">
        <v>0</v>
      </c>
      <c r="R1508" s="1575"/>
      <c r="S1508" s="1575"/>
      <c r="T1508" s="1575"/>
      <c r="U1508" s="1575"/>
    </row>
    <row r="1509" spans="1:23" ht="19.149999999999999" customHeight="1">
      <c r="A1509" s="1574" t="s">
        <v>1322</v>
      </c>
      <c r="B1509" s="1574"/>
      <c r="C1509" s="1574" t="s">
        <v>2613</v>
      </c>
      <c r="D1509" s="1574"/>
      <c r="E1509" s="1574"/>
      <c r="F1509" s="1574" t="s">
        <v>2507</v>
      </c>
      <c r="G1509" s="1574"/>
      <c r="H1509" s="1574"/>
      <c r="I1509" s="1574"/>
      <c r="J1509" s="1412">
        <v>10000</v>
      </c>
      <c r="K1509" s="1412">
        <v>0</v>
      </c>
      <c r="L1509" s="1412">
        <v>0</v>
      </c>
      <c r="M1509" s="1575">
        <v>0</v>
      </c>
      <c r="N1509" s="1575"/>
      <c r="O1509" s="1575">
        <v>10000</v>
      </c>
      <c r="P1509" s="1575"/>
      <c r="Q1509" s="1575">
        <v>0</v>
      </c>
      <c r="R1509" s="1575"/>
      <c r="S1509" s="1575"/>
      <c r="T1509" s="1575"/>
      <c r="U1509" s="1575"/>
    </row>
    <row r="1510" spans="1:23" ht="19.149999999999999" customHeight="1">
      <c r="A1510" s="1574" t="s">
        <v>1322</v>
      </c>
      <c r="B1510" s="1574"/>
      <c r="C1510" s="1574" t="s">
        <v>2614</v>
      </c>
      <c r="D1510" s="1574"/>
      <c r="E1510" s="1574"/>
      <c r="F1510" s="1574" t="s">
        <v>2509</v>
      </c>
      <c r="G1510" s="1574"/>
      <c r="H1510" s="1574"/>
      <c r="I1510" s="1574"/>
      <c r="J1510" s="1412">
        <v>100958.92</v>
      </c>
      <c r="K1510" s="1412">
        <v>0</v>
      </c>
      <c r="L1510" s="1412">
        <v>0</v>
      </c>
      <c r="M1510" s="1575">
        <v>10510.74</v>
      </c>
      <c r="N1510" s="1575"/>
      <c r="O1510" s="1575">
        <v>90448.18</v>
      </c>
      <c r="P1510" s="1575"/>
      <c r="Q1510" s="1575">
        <v>0</v>
      </c>
      <c r="R1510" s="1575"/>
      <c r="S1510" s="1575"/>
      <c r="T1510" s="1575"/>
      <c r="U1510" s="1575"/>
    </row>
    <row r="1511" spans="1:23" ht="19.149999999999999" customHeight="1">
      <c r="A1511" s="1574" t="s">
        <v>1322</v>
      </c>
      <c r="B1511" s="1574"/>
      <c r="C1511" s="1574" t="s">
        <v>2615</v>
      </c>
      <c r="D1511" s="1574"/>
      <c r="E1511" s="1574"/>
      <c r="F1511" s="1574" t="s">
        <v>2511</v>
      </c>
      <c r="G1511" s="1574"/>
      <c r="H1511" s="1574"/>
      <c r="I1511" s="1574"/>
      <c r="J1511" s="1412">
        <v>194955.95</v>
      </c>
      <c r="K1511" s="1412">
        <v>0</v>
      </c>
      <c r="L1511" s="1412">
        <v>0</v>
      </c>
      <c r="M1511" s="1575">
        <v>133763.01</v>
      </c>
      <c r="N1511" s="1575"/>
      <c r="O1511" s="1575">
        <v>61192.94</v>
      </c>
      <c r="P1511" s="1575"/>
      <c r="Q1511" s="1575">
        <v>0</v>
      </c>
      <c r="R1511" s="1575"/>
      <c r="S1511" s="1575"/>
      <c r="T1511" s="1575"/>
      <c r="U1511" s="1575"/>
    </row>
    <row r="1512" spans="1:23" ht="19.149999999999999" customHeight="1">
      <c r="A1512" s="1574" t="s">
        <v>1322</v>
      </c>
      <c r="B1512" s="1574"/>
      <c r="C1512" s="1574" t="s">
        <v>2616</v>
      </c>
      <c r="D1512" s="1574"/>
      <c r="E1512" s="1574"/>
      <c r="F1512" s="1574" t="s">
        <v>2513</v>
      </c>
      <c r="G1512" s="1574"/>
      <c r="H1512" s="1574"/>
      <c r="I1512" s="1574"/>
      <c r="J1512" s="1412">
        <v>210931.91</v>
      </c>
      <c r="K1512" s="1412">
        <v>0</v>
      </c>
      <c r="L1512" s="1412">
        <v>0</v>
      </c>
      <c r="M1512" s="1575">
        <v>139793.91</v>
      </c>
      <c r="N1512" s="1575"/>
      <c r="O1512" s="1575">
        <v>71138</v>
      </c>
      <c r="P1512" s="1575"/>
      <c r="Q1512" s="1575">
        <v>0</v>
      </c>
      <c r="R1512" s="1575"/>
      <c r="S1512" s="1575"/>
      <c r="T1512" s="1575"/>
      <c r="U1512" s="1575"/>
    </row>
    <row r="1513" spans="1:23" ht="19.149999999999999" customHeight="1">
      <c r="A1513" s="1574" t="s">
        <v>1322</v>
      </c>
      <c r="B1513" s="1574"/>
      <c r="C1513" s="1574" t="s">
        <v>2617</v>
      </c>
      <c r="D1513" s="1574"/>
      <c r="E1513" s="1574"/>
      <c r="F1513" s="1574" t="s">
        <v>2387</v>
      </c>
      <c r="G1513" s="1574"/>
      <c r="H1513" s="1574"/>
      <c r="I1513" s="1574"/>
      <c r="J1513" s="1412">
        <v>1217022.5</v>
      </c>
      <c r="K1513" s="1412">
        <v>0</v>
      </c>
      <c r="L1513" s="1412">
        <v>0</v>
      </c>
      <c r="M1513" s="1575">
        <v>145905.60000000001</v>
      </c>
      <c r="N1513" s="1575"/>
      <c r="O1513" s="1575">
        <v>1071116.8999999999</v>
      </c>
      <c r="P1513" s="1575"/>
      <c r="Q1513" s="1575">
        <v>0</v>
      </c>
      <c r="R1513" s="1575"/>
      <c r="S1513" s="1575"/>
      <c r="T1513" s="1575"/>
      <c r="U1513" s="1575"/>
    </row>
    <row r="1514" spans="1:23" ht="6.95" customHeight="1"/>
    <row r="1515" spans="1:23" ht="14.1" customHeight="1">
      <c r="S1515" s="1573" t="s">
        <v>6380</v>
      </c>
      <c r="T1515" s="1573"/>
      <c r="U1515" s="1573"/>
      <c r="V1515" s="1573"/>
      <c r="W1515" s="1573"/>
    </row>
    <row r="1516" spans="1:23" ht="7.15" customHeight="1">
      <c r="C1516" s="1586" t="s">
        <v>2987</v>
      </c>
      <c r="D1516" s="1586"/>
      <c r="E1516" s="1586"/>
      <c r="F1516" s="1586"/>
      <c r="G1516" s="1586"/>
      <c r="H1516" s="1586"/>
      <c r="I1516" s="1586"/>
      <c r="J1516" s="1586"/>
      <c r="K1516" s="1586"/>
      <c r="L1516" s="1586"/>
      <c r="M1516" s="1586"/>
      <c r="N1516" s="1586"/>
      <c r="O1516" s="1586"/>
      <c r="P1516" s="1586"/>
      <c r="Q1516" s="1586"/>
      <c r="R1516" s="1586"/>
      <c r="S1516" s="1586"/>
      <c r="T1516" s="1586"/>
    </row>
    <row r="1517" spans="1:23" ht="9.6" customHeight="1">
      <c r="A1517" s="1587"/>
      <c r="B1517" s="1587"/>
      <c r="C1517" s="1587"/>
      <c r="D1517" s="1587"/>
      <c r="E1517" s="1587"/>
      <c r="F1517" s="1587"/>
      <c r="G1517" s="1586"/>
      <c r="H1517" s="1586"/>
      <c r="I1517" s="1586"/>
      <c r="J1517" s="1586"/>
      <c r="K1517" s="1586"/>
      <c r="L1517" s="1586"/>
      <c r="M1517" s="1586"/>
      <c r="N1517" s="1586"/>
      <c r="O1517" s="1586"/>
      <c r="P1517" s="1586"/>
      <c r="Q1517" s="1586"/>
      <c r="R1517" s="1586"/>
      <c r="S1517" s="1586"/>
      <c r="T1517" s="1586"/>
    </row>
    <row r="1518" spans="1:23" ht="13.35" customHeight="1">
      <c r="A1518" s="1587"/>
      <c r="B1518" s="1587"/>
      <c r="C1518" s="1587"/>
      <c r="D1518" s="1587"/>
      <c r="E1518" s="1587"/>
      <c r="F1518" s="1587"/>
      <c r="G1518" s="1588" t="s">
        <v>79</v>
      </c>
      <c r="H1518" s="1588"/>
      <c r="I1518" s="1588"/>
      <c r="J1518" s="1588"/>
      <c r="K1518" s="1588"/>
      <c r="L1518" s="1588"/>
      <c r="M1518" s="1588"/>
      <c r="N1518" s="1588"/>
      <c r="O1518" s="1588"/>
      <c r="P1518" s="1588"/>
      <c r="Q1518" s="1588"/>
      <c r="R1518" s="1588"/>
    </row>
    <row r="1519" spans="1:23" ht="5.25" customHeight="1">
      <c r="A1519" s="1587"/>
      <c r="B1519" s="1587"/>
      <c r="C1519" s="1587"/>
      <c r="D1519" s="1587"/>
      <c r="E1519" s="1587"/>
      <c r="F1519" s="1587"/>
      <c r="G1519" s="1581" t="s">
        <v>7015</v>
      </c>
      <c r="H1519" s="1581"/>
      <c r="I1519" s="1581"/>
      <c r="J1519" s="1581"/>
      <c r="K1519" s="1581"/>
      <c r="L1519" s="1581"/>
      <c r="M1519" s="1581"/>
      <c r="N1519" s="1581"/>
      <c r="O1519" s="1581"/>
      <c r="P1519" s="1581"/>
      <c r="Q1519" s="1581"/>
    </row>
    <row r="1520" spans="1:23" ht="8.1" customHeight="1">
      <c r="B1520" s="1580" t="s">
        <v>1916</v>
      </c>
      <c r="C1520" s="1580"/>
      <c r="D1520" s="1580"/>
      <c r="E1520" s="1580"/>
      <c r="F1520" s="1580"/>
      <c r="G1520" s="1580"/>
      <c r="H1520" s="1581"/>
      <c r="I1520" s="1581"/>
      <c r="J1520" s="1581"/>
      <c r="K1520" s="1581"/>
      <c r="L1520" s="1581"/>
      <c r="M1520" s="1581"/>
      <c r="N1520" s="1582" t="s">
        <v>5619</v>
      </c>
      <c r="O1520" s="1582"/>
      <c r="P1520" s="1582"/>
      <c r="Q1520" s="1582"/>
      <c r="R1520" s="1582"/>
      <c r="S1520" s="1582"/>
      <c r="T1520" s="1583" t="s">
        <v>7016</v>
      </c>
      <c r="U1520" s="1583"/>
      <c r="V1520" s="1583"/>
      <c r="W1520" s="1583"/>
    </row>
    <row r="1521" spans="1:23" ht="6" customHeight="1">
      <c r="B1521" s="1580"/>
      <c r="C1521" s="1580"/>
      <c r="D1521" s="1580"/>
      <c r="E1521" s="1580"/>
      <c r="F1521" s="1580"/>
      <c r="G1521" s="1580"/>
      <c r="H1521" s="1584" t="s">
        <v>7017</v>
      </c>
      <c r="I1521" s="1584"/>
      <c r="J1521" s="1584"/>
      <c r="K1521" s="1584"/>
      <c r="L1521" s="1584"/>
      <c r="M1521" s="1584"/>
      <c r="N1521" s="1582"/>
      <c r="O1521" s="1582"/>
      <c r="P1521" s="1582"/>
      <c r="Q1521" s="1582"/>
      <c r="R1521" s="1582"/>
      <c r="S1521" s="1582"/>
      <c r="T1521" s="1583"/>
      <c r="U1521" s="1583"/>
      <c r="V1521" s="1583"/>
      <c r="W1521" s="1583"/>
    </row>
    <row r="1522" spans="1:23" ht="7.35" customHeight="1">
      <c r="B1522" s="1580" t="s">
        <v>1994</v>
      </c>
      <c r="C1522" s="1580"/>
      <c r="D1522" s="1580"/>
      <c r="E1522" s="1585"/>
      <c r="F1522" s="1585"/>
      <c r="G1522" s="1585"/>
      <c r="H1522" s="1585"/>
      <c r="I1522" s="1585"/>
      <c r="J1522" s="1585"/>
      <c r="K1522" s="1585"/>
      <c r="L1522" s="1585"/>
      <c r="M1522" s="1585"/>
      <c r="N1522" s="1585"/>
      <c r="O1522" s="1585"/>
      <c r="P1522" s="1585"/>
      <c r="Q1522" s="1585"/>
      <c r="R1522" s="1582"/>
      <c r="S1522" s="1582"/>
      <c r="T1522" s="1582" t="s">
        <v>7018</v>
      </c>
      <c r="U1522" s="1582"/>
    </row>
    <row r="1523" spans="1:23" ht="6.75" customHeight="1">
      <c r="E1523" s="1585"/>
      <c r="F1523" s="1585"/>
      <c r="G1523" s="1585"/>
      <c r="H1523" s="1585"/>
      <c r="I1523" s="1585"/>
      <c r="J1523" s="1585"/>
      <c r="K1523" s="1585"/>
      <c r="L1523" s="1585"/>
      <c r="M1523" s="1585"/>
      <c r="N1523" s="1585"/>
      <c r="O1523" s="1585"/>
      <c r="P1523" s="1585"/>
      <c r="Q1523" s="1585"/>
      <c r="R1523" s="1582"/>
      <c r="S1523" s="1582"/>
      <c r="T1523" s="1582"/>
      <c r="U1523" s="1582"/>
    </row>
    <row r="1524" spans="1:23" ht="10.9" customHeight="1">
      <c r="A1524" s="1576"/>
      <c r="B1524" s="1576"/>
      <c r="C1524" s="1576"/>
      <c r="D1524" s="1576"/>
      <c r="E1524" s="1576"/>
      <c r="F1524" s="1576"/>
      <c r="G1524" s="1576"/>
      <c r="H1524" s="1576"/>
      <c r="I1524" s="1576"/>
      <c r="J1524" s="1577" t="s">
        <v>1314</v>
      </c>
      <c r="K1524" s="1577"/>
      <c r="L1524" s="1577" t="s">
        <v>1315</v>
      </c>
      <c r="M1524" s="1577"/>
      <c r="N1524" s="1577"/>
      <c r="O1524" s="1577" t="s">
        <v>1316</v>
      </c>
      <c r="P1524" s="1577"/>
      <c r="Q1524" s="1577"/>
      <c r="R1524" s="1577"/>
      <c r="S1524" s="1577"/>
      <c r="T1524" s="1577"/>
      <c r="U1524" s="1577"/>
    </row>
    <row r="1525" spans="1:23" ht="14.1" customHeight="1">
      <c r="A1525" s="1578" t="s">
        <v>1317</v>
      </c>
      <c r="B1525" s="1578"/>
      <c r="C1525" s="1578" t="s">
        <v>1318</v>
      </c>
      <c r="D1525" s="1578"/>
      <c r="E1525" s="1578"/>
      <c r="F1525" s="1578" t="s">
        <v>1319</v>
      </c>
      <c r="G1525" s="1578"/>
      <c r="H1525" s="1578"/>
      <c r="I1525" s="1578"/>
      <c r="J1525" s="1413" t="s">
        <v>1320</v>
      </c>
      <c r="K1525" s="1413" t="s">
        <v>1321</v>
      </c>
      <c r="L1525" s="1413" t="s">
        <v>1320</v>
      </c>
      <c r="M1525" s="1579" t="s">
        <v>1321</v>
      </c>
      <c r="N1525" s="1579"/>
      <c r="O1525" s="1579" t="s">
        <v>1320</v>
      </c>
      <c r="P1525" s="1579"/>
      <c r="Q1525" s="1579" t="s">
        <v>1321</v>
      </c>
      <c r="R1525" s="1579"/>
      <c r="S1525" s="1579"/>
      <c r="T1525" s="1579"/>
      <c r="U1525" s="1579"/>
    </row>
    <row r="1526" spans="1:23" ht="22.5" customHeight="1">
      <c r="A1526" s="1574" t="s">
        <v>1322</v>
      </c>
      <c r="B1526" s="1574"/>
      <c r="C1526" s="1574" t="s">
        <v>2618</v>
      </c>
      <c r="D1526" s="1574"/>
      <c r="E1526" s="1574"/>
      <c r="F1526" s="1574" t="s">
        <v>2390</v>
      </c>
      <c r="G1526" s="1574"/>
      <c r="H1526" s="1574"/>
      <c r="I1526" s="1574"/>
      <c r="J1526" s="1412">
        <v>379880.04</v>
      </c>
      <c r="K1526" s="1412">
        <v>0</v>
      </c>
      <c r="L1526" s="1412">
        <v>0</v>
      </c>
      <c r="M1526" s="1575">
        <v>222414.33</v>
      </c>
      <c r="N1526" s="1575"/>
      <c r="O1526" s="1575">
        <v>157465.71</v>
      </c>
      <c r="P1526" s="1575"/>
      <c r="Q1526" s="1575">
        <v>0</v>
      </c>
      <c r="R1526" s="1575"/>
      <c r="S1526" s="1575"/>
      <c r="T1526" s="1575"/>
      <c r="U1526" s="1575"/>
    </row>
    <row r="1527" spans="1:23" ht="19.149999999999999" customHeight="1">
      <c r="A1527" s="1574" t="s">
        <v>1322</v>
      </c>
      <c r="B1527" s="1574"/>
      <c r="C1527" s="1574" t="s">
        <v>2619</v>
      </c>
      <c r="D1527" s="1574"/>
      <c r="E1527" s="1574"/>
      <c r="F1527" s="1574" t="s">
        <v>2392</v>
      </c>
      <c r="G1527" s="1574"/>
      <c r="H1527" s="1574"/>
      <c r="I1527" s="1574"/>
      <c r="J1527" s="1412">
        <v>44729.52</v>
      </c>
      <c r="K1527" s="1412">
        <v>0</v>
      </c>
      <c r="L1527" s="1412">
        <v>0</v>
      </c>
      <c r="M1527" s="1575">
        <v>23750.11</v>
      </c>
      <c r="N1527" s="1575"/>
      <c r="O1527" s="1575">
        <v>20979.41</v>
      </c>
      <c r="P1527" s="1575"/>
      <c r="Q1527" s="1575">
        <v>0</v>
      </c>
      <c r="R1527" s="1575"/>
      <c r="S1527" s="1575"/>
      <c r="T1527" s="1575"/>
      <c r="U1527" s="1575"/>
    </row>
    <row r="1528" spans="1:23" ht="19.149999999999999" customHeight="1">
      <c r="A1528" s="1574" t="s">
        <v>1322</v>
      </c>
      <c r="B1528" s="1574"/>
      <c r="C1528" s="1574" t="s">
        <v>2620</v>
      </c>
      <c r="D1528" s="1574"/>
      <c r="E1528" s="1574"/>
      <c r="F1528" s="1574" t="s">
        <v>2394</v>
      </c>
      <c r="G1528" s="1574"/>
      <c r="H1528" s="1574"/>
      <c r="I1528" s="1574"/>
      <c r="J1528" s="1412">
        <v>60000</v>
      </c>
      <c r="K1528" s="1412">
        <v>0</v>
      </c>
      <c r="L1528" s="1412">
        <v>0</v>
      </c>
      <c r="M1528" s="1575">
        <v>0</v>
      </c>
      <c r="N1528" s="1575"/>
      <c r="O1528" s="1575">
        <v>60000</v>
      </c>
      <c r="P1528" s="1575"/>
      <c r="Q1528" s="1575">
        <v>0</v>
      </c>
      <c r="R1528" s="1575"/>
      <c r="S1528" s="1575"/>
      <c r="T1528" s="1575"/>
      <c r="U1528" s="1575"/>
    </row>
    <row r="1529" spans="1:23" ht="19.149999999999999" customHeight="1">
      <c r="A1529" s="1574" t="s">
        <v>1322</v>
      </c>
      <c r="B1529" s="1574"/>
      <c r="C1529" s="1574" t="s">
        <v>2621</v>
      </c>
      <c r="D1529" s="1574"/>
      <c r="E1529" s="1574"/>
      <c r="F1529" s="1574" t="s">
        <v>2396</v>
      </c>
      <c r="G1529" s="1574"/>
      <c r="H1529" s="1574"/>
      <c r="I1529" s="1574"/>
      <c r="J1529" s="1412">
        <v>227447.9</v>
      </c>
      <c r="K1529" s="1412">
        <v>0</v>
      </c>
      <c r="L1529" s="1412">
        <v>0</v>
      </c>
      <c r="M1529" s="1575">
        <v>37205.94</v>
      </c>
      <c r="N1529" s="1575"/>
      <c r="O1529" s="1575">
        <v>190241.96</v>
      </c>
      <c r="P1529" s="1575"/>
      <c r="Q1529" s="1575">
        <v>0</v>
      </c>
      <c r="R1529" s="1575"/>
      <c r="S1529" s="1575"/>
      <c r="T1529" s="1575"/>
      <c r="U1529" s="1575"/>
    </row>
    <row r="1530" spans="1:23" ht="19.149999999999999" customHeight="1">
      <c r="A1530" s="1574" t="s">
        <v>1322</v>
      </c>
      <c r="B1530" s="1574"/>
      <c r="C1530" s="1574" t="s">
        <v>2622</v>
      </c>
      <c r="D1530" s="1574"/>
      <c r="E1530" s="1574"/>
      <c r="F1530" s="1574" t="s">
        <v>2398</v>
      </c>
      <c r="G1530" s="1574"/>
      <c r="H1530" s="1574"/>
      <c r="I1530" s="1574"/>
      <c r="J1530" s="1412">
        <v>6999.1</v>
      </c>
      <c r="K1530" s="1412">
        <v>0</v>
      </c>
      <c r="L1530" s="1412">
        <v>0</v>
      </c>
      <c r="M1530" s="1575">
        <v>2846.78</v>
      </c>
      <c r="N1530" s="1575"/>
      <c r="O1530" s="1575">
        <v>4152.32</v>
      </c>
      <c r="P1530" s="1575"/>
      <c r="Q1530" s="1575">
        <v>0</v>
      </c>
      <c r="R1530" s="1575"/>
      <c r="S1530" s="1575"/>
      <c r="T1530" s="1575"/>
      <c r="U1530" s="1575"/>
    </row>
    <row r="1531" spans="1:23" ht="19.149999999999999" customHeight="1">
      <c r="A1531" s="1574" t="s">
        <v>1322</v>
      </c>
      <c r="B1531" s="1574"/>
      <c r="C1531" s="1574" t="s">
        <v>2623</v>
      </c>
      <c r="D1531" s="1574"/>
      <c r="E1531" s="1574"/>
      <c r="F1531" s="1574" t="s">
        <v>2400</v>
      </c>
      <c r="G1531" s="1574"/>
      <c r="H1531" s="1574"/>
      <c r="I1531" s="1574"/>
      <c r="J1531" s="1412">
        <v>35647.68</v>
      </c>
      <c r="K1531" s="1412">
        <v>0</v>
      </c>
      <c r="L1531" s="1412">
        <v>0</v>
      </c>
      <c r="M1531" s="1575">
        <v>0</v>
      </c>
      <c r="N1531" s="1575"/>
      <c r="O1531" s="1575">
        <v>35647.68</v>
      </c>
      <c r="P1531" s="1575"/>
      <c r="Q1531" s="1575">
        <v>0</v>
      </c>
      <c r="R1531" s="1575"/>
      <c r="S1531" s="1575"/>
      <c r="T1531" s="1575"/>
      <c r="U1531" s="1575"/>
    </row>
    <row r="1532" spans="1:23" ht="19.149999999999999" customHeight="1">
      <c r="A1532" s="1574" t="s">
        <v>1322</v>
      </c>
      <c r="B1532" s="1574"/>
      <c r="C1532" s="1574" t="s">
        <v>2624</v>
      </c>
      <c r="D1532" s="1574"/>
      <c r="E1532" s="1574"/>
      <c r="F1532" s="1574" t="s">
        <v>2402</v>
      </c>
      <c r="G1532" s="1574"/>
      <c r="H1532" s="1574"/>
      <c r="I1532" s="1574"/>
      <c r="J1532" s="1412">
        <v>43871.19</v>
      </c>
      <c r="K1532" s="1412">
        <v>0</v>
      </c>
      <c r="L1532" s="1412">
        <v>0</v>
      </c>
      <c r="M1532" s="1575">
        <v>10171.700000000001</v>
      </c>
      <c r="N1532" s="1575"/>
      <c r="O1532" s="1575">
        <v>33699.49</v>
      </c>
      <c r="P1532" s="1575"/>
      <c r="Q1532" s="1575">
        <v>0</v>
      </c>
      <c r="R1532" s="1575"/>
      <c r="S1532" s="1575"/>
      <c r="T1532" s="1575"/>
      <c r="U1532" s="1575"/>
    </row>
    <row r="1533" spans="1:23" ht="19.149999999999999" customHeight="1">
      <c r="A1533" s="1574" t="s">
        <v>1322</v>
      </c>
      <c r="B1533" s="1574"/>
      <c r="C1533" s="1574" t="s">
        <v>2625</v>
      </c>
      <c r="D1533" s="1574"/>
      <c r="E1533" s="1574"/>
      <c r="F1533" s="1574" t="s">
        <v>2419</v>
      </c>
      <c r="G1533" s="1574"/>
      <c r="H1533" s="1574"/>
      <c r="I1533" s="1574"/>
      <c r="J1533" s="1412">
        <v>6227924.7000000002</v>
      </c>
      <c r="K1533" s="1412">
        <v>0</v>
      </c>
      <c r="L1533" s="1412">
        <v>0</v>
      </c>
      <c r="M1533" s="1575">
        <v>981970</v>
      </c>
      <c r="N1533" s="1575"/>
      <c r="O1533" s="1575">
        <v>5245954.7</v>
      </c>
      <c r="P1533" s="1575"/>
      <c r="Q1533" s="1575">
        <v>0</v>
      </c>
      <c r="R1533" s="1575"/>
      <c r="S1533" s="1575"/>
      <c r="T1533" s="1575"/>
      <c r="U1533" s="1575"/>
    </row>
    <row r="1534" spans="1:23" ht="19.149999999999999" customHeight="1">
      <c r="A1534" s="1574" t="s">
        <v>1322</v>
      </c>
      <c r="B1534" s="1574"/>
      <c r="C1534" s="1574" t="s">
        <v>2626</v>
      </c>
      <c r="D1534" s="1574"/>
      <c r="E1534" s="1574"/>
      <c r="F1534" s="1574" t="s">
        <v>2524</v>
      </c>
      <c r="G1534" s="1574"/>
      <c r="H1534" s="1574"/>
      <c r="I1534" s="1574"/>
      <c r="J1534" s="1412">
        <v>582074.56999999995</v>
      </c>
      <c r="K1534" s="1412">
        <v>0</v>
      </c>
      <c r="L1534" s="1412">
        <v>0</v>
      </c>
      <c r="M1534" s="1575">
        <v>12854.08</v>
      </c>
      <c r="N1534" s="1575"/>
      <c r="O1534" s="1575">
        <v>569220.49</v>
      </c>
      <c r="P1534" s="1575"/>
      <c r="Q1534" s="1575">
        <v>0</v>
      </c>
      <c r="R1534" s="1575"/>
      <c r="S1534" s="1575"/>
      <c r="T1534" s="1575"/>
      <c r="U1534" s="1575"/>
    </row>
    <row r="1535" spans="1:23" ht="19.149999999999999" customHeight="1">
      <c r="A1535" s="1574" t="s">
        <v>1322</v>
      </c>
      <c r="B1535" s="1574"/>
      <c r="C1535" s="1574" t="s">
        <v>2627</v>
      </c>
      <c r="D1535" s="1574"/>
      <c r="E1535" s="1574"/>
      <c r="F1535" s="1574" t="s">
        <v>2526</v>
      </c>
      <c r="G1535" s="1574"/>
      <c r="H1535" s="1574"/>
      <c r="I1535" s="1574"/>
      <c r="J1535" s="1412">
        <v>1408000</v>
      </c>
      <c r="K1535" s="1412">
        <v>0</v>
      </c>
      <c r="L1535" s="1412">
        <v>0</v>
      </c>
      <c r="M1535" s="1575">
        <v>0</v>
      </c>
      <c r="N1535" s="1575"/>
      <c r="O1535" s="1575">
        <v>1408000</v>
      </c>
      <c r="P1535" s="1575"/>
      <c r="Q1535" s="1575">
        <v>0</v>
      </c>
      <c r="R1535" s="1575"/>
      <c r="S1535" s="1575"/>
      <c r="T1535" s="1575"/>
      <c r="U1535" s="1575"/>
    </row>
    <row r="1536" spans="1:23" ht="19.149999999999999" customHeight="1">
      <c r="A1536" s="1574" t="s">
        <v>1322</v>
      </c>
      <c r="B1536" s="1574"/>
      <c r="C1536" s="1574" t="s">
        <v>2628</v>
      </c>
      <c r="D1536" s="1574"/>
      <c r="E1536" s="1574"/>
      <c r="F1536" s="1574" t="s">
        <v>2528</v>
      </c>
      <c r="G1536" s="1574"/>
      <c r="H1536" s="1574"/>
      <c r="I1536" s="1574"/>
      <c r="J1536" s="1412">
        <v>1463473.59</v>
      </c>
      <c r="K1536" s="1412">
        <v>0</v>
      </c>
      <c r="L1536" s="1412">
        <v>0</v>
      </c>
      <c r="M1536" s="1575">
        <v>28218</v>
      </c>
      <c r="N1536" s="1575"/>
      <c r="O1536" s="1575">
        <v>1435255.59</v>
      </c>
      <c r="P1536" s="1575"/>
      <c r="Q1536" s="1575">
        <v>0</v>
      </c>
      <c r="R1536" s="1575"/>
      <c r="S1536" s="1575"/>
      <c r="T1536" s="1575"/>
      <c r="U1536" s="1575"/>
    </row>
    <row r="1537" spans="1:23" ht="19.149999999999999" customHeight="1">
      <c r="A1537" s="1574" t="s">
        <v>1322</v>
      </c>
      <c r="B1537" s="1574"/>
      <c r="C1537" s="1574" t="s">
        <v>2629</v>
      </c>
      <c r="D1537" s="1574"/>
      <c r="E1537" s="1574"/>
      <c r="F1537" s="1574" t="s">
        <v>2530</v>
      </c>
      <c r="G1537" s="1574"/>
      <c r="H1537" s="1574"/>
      <c r="I1537" s="1574"/>
      <c r="J1537" s="1412">
        <v>301211.39</v>
      </c>
      <c r="K1537" s="1412">
        <v>0</v>
      </c>
      <c r="L1537" s="1412">
        <v>0</v>
      </c>
      <c r="M1537" s="1575">
        <v>0</v>
      </c>
      <c r="N1537" s="1575"/>
      <c r="O1537" s="1575">
        <v>301211.39</v>
      </c>
      <c r="P1537" s="1575"/>
      <c r="Q1537" s="1575">
        <v>0</v>
      </c>
      <c r="R1537" s="1575"/>
      <c r="S1537" s="1575"/>
      <c r="T1537" s="1575"/>
      <c r="U1537" s="1575"/>
    </row>
    <row r="1538" spans="1:23" ht="19.149999999999999" customHeight="1">
      <c r="A1538" s="1574" t="s">
        <v>345</v>
      </c>
      <c r="B1538" s="1574"/>
      <c r="C1538" s="1574" t="s">
        <v>6334</v>
      </c>
      <c r="D1538" s="1574"/>
      <c r="E1538" s="1574"/>
      <c r="F1538" s="1574" t="s">
        <v>6335</v>
      </c>
      <c r="G1538" s="1574"/>
      <c r="H1538" s="1574"/>
      <c r="I1538" s="1574"/>
      <c r="J1538" s="1412">
        <v>0</v>
      </c>
      <c r="K1538" s="1412">
        <v>2683490</v>
      </c>
      <c r="L1538" s="1412">
        <v>26112.16</v>
      </c>
      <c r="M1538" s="1575">
        <v>26112.16</v>
      </c>
      <c r="N1538" s="1575"/>
      <c r="O1538" s="1575">
        <v>0</v>
      </c>
      <c r="P1538" s="1575"/>
      <c r="Q1538" s="1575">
        <v>2683490</v>
      </c>
      <c r="R1538" s="1575"/>
      <c r="S1538" s="1575"/>
      <c r="T1538" s="1575"/>
      <c r="U1538" s="1575"/>
    </row>
    <row r="1539" spans="1:23" ht="19.149999999999999" customHeight="1">
      <c r="A1539" s="1574" t="s">
        <v>345</v>
      </c>
      <c r="B1539" s="1574"/>
      <c r="C1539" s="1574" t="s">
        <v>7056</v>
      </c>
      <c r="D1539" s="1574"/>
      <c r="E1539" s="1574"/>
      <c r="F1539" s="1574" t="s">
        <v>2398</v>
      </c>
      <c r="G1539" s="1574"/>
      <c r="H1539" s="1574"/>
      <c r="I1539" s="1574"/>
      <c r="J1539" s="1412">
        <v>0</v>
      </c>
      <c r="K1539" s="1412">
        <v>0</v>
      </c>
      <c r="L1539" s="1412">
        <v>0</v>
      </c>
      <c r="M1539" s="1575">
        <v>34.630000000000003</v>
      </c>
      <c r="N1539" s="1575"/>
      <c r="O1539" s="1575">
        <v>0</v>
      </c>
      <c r="P1539" s="1575"/>
      <c r="Q1539" s="1575">
        <v>34.630000000000003</v>
      </c>
      <c r="R1539" s="1575"/>
      <c r="S1539" s="1575"/>
      <c r="T1539" s="1575"/>
      <c r="U1539" s="1575"/>
    </row>
    <row r="1540" spans="1:23" ht="19.149999999999999" customHeight="1">
      <c r="A1540" s="1574" t="s">
        <v>345</v>
      </c>
      <c r="B1540" s="1574"/>
      <c r="C1540" s="1574" t="s">
        <v>6336</v>
      </c>
      <c r="D1540" s="1574"/>
      <c r="E1540" s="1574"/>
      <c r="F1540" s="1574" t="s">
        <v>2404</v>
      </c>
      <c r="G1540" s="1574"/>
      <c r="H1540" s="1574"/>
      <c r="I1540" s="1574"/>
      <c r="J1540" s="1412">
        <v>0</v>
      </c>
      <c r="K1540" s="1412">
        <v>370490</v>
      </c>
      <c r="L1540" s="1412">
        <v>0</v>
      </c>
      <c r="M1540" s="1575">
        <v>0</v>
      </c>
      <c r="N1540" s="1575"/>
      <c r="O1540" s="1575">
        <v>0</v>
      </c>
      <c r="P1540" s="1575"/>
      <c r="Q1540" s="1575">
        <v>370490</v>
      </c>
      <c r="R1540" s="1575"/>
      <c r="S1540" s="1575"/>
      <c r="T1540" s="1575"/>
      <c r="U1540" s="1575"/>
    </row>
    <row r="1541" spans="1:23" ht="19.149999999999999" customHeight="1">
      <c r="A1541" s="1574" t="s">
        <v>345</v>
      </c>
      <c r="B1541" s="1574"/>
      <c r="C1541" s="1574" t="s">
        <v>6337</v>
      </c>
      <c r="D1541" s="1574"/>
      <c r="E1541" s="1574"/>
      <c r="F1541" s="1574" t="s">
        <v>2404</v>
      </c>
      <c r="G1541" s="1574"/>
      <c r="H1541" s="1574"/>
      <c r="I1541" s="1574"/>
      <c r="J1541" s="1412">
        <v>0</v>
      </c>
      <c r="K1541" s="1412">
        <v>137500</v>
      </c>
      <c r="L1541" s="1412">
        <v>0</v>
      </c>
      <c r="M1541" s="1575">
        <v>0</v>
      </c>
      <c r="N1541" s="1575"/>
      <c r="O1541" s="1575">
        <v>0</v>
      </c>
      <c r="P1541" s="1575"/>
      <c r="Q1541" s="1575">
        <v>137500</v>
      </c>
      <c r="R1541" s="1575"/>
      <c r="S1541" s="1575"/>
      <c r="T1541" s="1575"/>
      <c r="U1541" s="1575"/>
    </row>
    <row r="1542" spans="1:23" ht="19.149999999999999" customHeight="1">
      <c r="A1542" s="1574" t="s">
        <v>345</v>
      </c>
      <c r="B1542" s="1574"/>
      <c r="C1542" s="1574" t="s">
        <v>6338</v>
      </c>
      <c r="D1542" s="1574"/>
      <c r="E1542" s="1574"/>
      <c r="F1542" s="1574" t="s">
        <v>2404</v>
      </c>
      <c r="G1542" s="1574"/>
      <c r="H1542" s="1574"/>
      <c r="I1542" s="1574"/>
      <c r="J1542" s="1412">
        <v>0</v>
      </c>
      <c r="K1542" s="1412">
        <v>480000</v>
      </c>
      <c r="L1542" s="1412">
        <v>0</v>
      </c>
      <c r="M1542" s="1575">
        <v>0</v>
      </c>
      <c r="N1542" s="1575"/>
      <c r="O1542" s="1575">
        <v>0</v>
      </c>
      <c r="P1542" s="1575"/>
      <c r="Q1542" s="1575">
        <v>480000</v>
      </c>
      <c r="R1542" s="1575"/>
      <c r="S1542" s="1575"/>
      <c r="T1542" s="1575"/>
      <c r="U1542" s="1575"/>
    </row>
    <row r="1543" spans="1:23" ht="19.149999999999999" customHeight="1">
      <c r="A1543" s="1574" t="s">
        <v>345</v>
      </c>
      <c r="B1543" s="1574"/>
      <c r="C1543" s="1574" t="s">
        <v>7057</v>
      </c>
      <c r="D1543" s="1574"/>
      <c r="E1543" s="1574"/>
      <c r="F1543" s="1574" t="s">
        <v>2392</v>
      </c>
      <c r="G1543" s="1574"/>
      <c r="H1543" s="1574"/>
      <c r="I1543" s="1574"/>
      <c r="J1543" s="1412">
        <v>0</v>
      </c>
      <c r="K1543" s="1412">
        <v>0</v>
      </c>
      <c r="L1543" s="1412">
        <v>0</v>
      </c>
      <c r="M1543" s="1575">
        <v>12271.65</v>
      </c>
      <c r="N1543" s="1575"/>
      <c r="O1543" s="1575">
        <v>0</v>
      </c>
      <c r="P1543" s="1575"/>
      <c r="Q1543" s="1575">
        <v>12271.65</v>
      </c>
      <c r="R1543" s="1575"/>
      <c r="S1543" s="1575"/>
      <c r="T1543" s="1575"/>
      <c r="U1543" s="1575"/>
    </row>
    <row r="1544" spans="1:23" ht="19.149999999999999" customHeight="1">
      <c r="A1544" s="1574" t="s">
        <v>345</v>
      </c>
      <c r="B1544" s="1574"/>
      <c r="C1544" s="1574" t="s">
        <v>7058</v>
      </c>
      <c r="D1544" s="1574"/>
      <c r="E1544" s="1574"/>
      <c r="F1544" s="1574" t="s">
        <v>2398</v>
      </c>
      <c r="G1544" s="1574"/>
      <c r="H1544" s="1574"/>
      <c r="I1544" s="1574"/>
      <c r="J1544" s="1412">
        <v>0</v>
      </c>
      <c r="K1544" s="1412">
        <v>0</v>
      </c>
      <c r="L1544" s="1412">
        <v>11469.09</v>
      </c>
      <c r="M1544" s="1575">
        <v>0</v>
      </c>
      <c r="N1544" s="1575"/>
      <c r="O1544" s="1575">
        <v>0</v>
      </c>
      <c r="P1544" s="1575"/>
      <c r="Q1544" s="1575">
        <v>-11469.09</v>
      </c>
      <c r="R1544" s="1575"/>
      <c r="S1544" s="1575"/>
      <c r="T1544" s="1575"/>
      <c r="U1544" s="1575"/>
    </row>
    <row r="1545" spans="1:23" ht="19.149999999999999" customHeight="1">
      <c r="A1545" s="1574" t="s">
        <v>345</v>
      </c>
      <c r="B1545" s="1574"/>
      <c r="C1545" s="1574" t="s">
        <v>6339</v>
      </c>
      <c r="D1545" s="1574"/>
      <c r="E1545" s="1574"/>
      <c r="F1545" s="1574" t="s">
        <v>2423</v>
      </c>
      <c r="G1545" s="1574"/>
      <c r="H1545" s="1574"/>
      <c r="I1545" s="1574"/>
      <c r="J1545" s="1412">
        <v>0</v>
      </c>
      <c r="K1545" s="1412">
        <v>300000</v>
      </c>
      <c r="L1545" s="1412">
        <v>0</v>
      </c>
      <c r="M1545" s="1575">
        <v>0</v>
      </c>
      <c r="N1545" s="1575"/>
      <c r="O1545" s="1575">
        <v>0</v>
      </c>
      <c r="P1545" s="1575"/>
      <c r="Q1545" s="1575">
        <v>300000</v>
      </c>
      <c r="R1545" s="1575"/>
      <c r="S1545" s="1575"/>
      <c r="T1545" s="1575"/>
      <c r="U1545" s="1575"/>
    </row>
    <row r="1546" spans="1:23" ht="19.149999999999999" customHeight="1">
      <c r="A1546" s="1574" t="s">
        <v>345</v>
      </c>
      <c r="B1546" s="1574"/>
      <c r="C1546" s="1574" t="s">
        <v>6340</v>
      </c>
      <c r="D1546" s="1574"/>
      <c r="E1546" s="1574"/>
      <c r="F1546" s="1574" t="s">
        <v>2418</v>
      </c>
      <c r="G1546" s="1574"/>
      <c r="H1546" s="1574"/>
      <c r="I1546" s="1574"/>
      <c r="J1546" s="1412">
        <v>0</v>
      </c>
      <c r="K1546" s="1412">
        <v>500000</v>
      </c>
      <c r="L1546" s="1412">
        <v>0</v>
      </c>
      <c r="M1546" s="1575">
        <v>0</v>
      </c>
      <c r="N1546" s="1575"/>
      <c r="O1546" s="1575">
        <v>0</v>
      </c>
      <c r="P1546" s="1575"/>
      <c r="Q1546" s="1575">
        <v>500000</v>
      </c>
      <c r="R1546" s="1575"/>
      <c r="S1546" s="1575"/>
      <c r="T1546" s="1575"/>
      <c r="U1546" s="1575"/>
    </row>
    <row r="1547" spans="1:23" ht="19.149999999999999" customHeight="1">
      <c r="A1547" s="1574" t="s">
        <v>345</v>
      </c>
      <c r="B1547" s="1574"/>
      <c r="C1547" s="1574" t="s">
        <v>6341</v>
      </c>
      <c r="D1547" s="1574"/>
      <c r="E1547" s="1574"/>
      <c r="F1547" s="1574" t="s">
        <v>2423</v>
      </c>
      <c r="G1547" s="1574"/>
      <c r="H1547" s="1574"/>
      <c r="I1547" s="1574"/>
      <c r="J1547" s="1412">
        <v>0</v>
      </c>
      <c r="K1547" s="1412">
        <v>100000</v>
      </c>
      <c r="L1547" s="1412">
        <v>0</v>
      </c>
      <c r="M1547" s="1575">
        <v>0</v>
      </c>
      <c r="N1547" s="1575"/>
      <c r="O1547" s="1575">
        <v>0</v>
      </c>
      <c r="P1547" s="1575"/>
      <c r="Q1547" s="1575">
        <v>100000</v>
      </c>
      <c r="R1547" s="1575"/>
      <c r="S1547" s="1575"/>
      <c r="T1547" s="1575"/>
      <c r="U1547" s="1575"/>
    </row>
    <row r="1548" spans="1:23" ht="19.149999999999999" customHeight="1">
      <c r="A1548" s="1574" t="s">
        <v>345</v>
      </c>
      <c r="B1548" s="1574"/>
      <c r="C1548" s="1574" t="s">
        <v>6342</v>
      </c>
      <c r="D1548" s="1574"/>
      <c r="E1548" s="1574"/>
      <c r="F1548" s="1574" t="s">
        <v>2423</v>
      </c>
      <c r="G1548" s="1574"/>
      <c r="H1548" s="1574"/>
      <c r="I1548" s="1574"/>
      <c r="J1548" s="1412">
        <v>0</v>
      </c>
      <c r="K1548" s="1412">
        <v>80000</v>
      </c>
      <c r="L1548" s="1412">
        <v>0</v>
      </c>
      <c r="M1548" s="1575">
        <v>0</v>
      </c>
      <c r="N1548" s="1575"/>
      <c r="O1548" s="1575">
        <v>0</v>
      </c>
      <c r="P1548" s="1575"/>
      <c r="Q1548" s="1575">
        <v>80000</v>
      </c>
      <c r="R1548" s="1575"/>
      <c r="S1548" s="1575"/>
      <c r="T1548" s="1575"/>
      <c r="U1548" s="1575"/>
    </row>
    <row r="1549" spans="1:23" ht="6.95" customHeight="1"/>
    <row r="1550" spans="1:23" ht="14.1" customHeight="1">
      <c r="S1550" s="1573" t="s">
        <v>6556</v>
      </c>
      <c r="T1550" s="1573"/>
      <c r="U1550" s="1573"/>
      <c r="V1550" s="1573"/>
      <c r="W1550" s="1573"/>
    </row>
    <row r="1551" spans="1:23" ht="7.15" customHeight="1">
      <c r="C1551" s="1586" t="s">
        <v>2987</v>
      </c>
      <c r="D1551" s="1586"/>
      <c r="E1551" s="1586"/>
      <c r="F1551" s="1586"/>
      <c r="G1551" s="1586"/>
      <c r="H1551" s="1586"/>
      <c r="I1551" s="1586"/>
      <c r="J1551" s="1586"/>
      <c r="K1551" s="1586"/>
      <c r="L1551" s="1586"/>
      <c r="M1551" s="1586"/>
      <c r="N1551" s="1586"/>
      <c r="O1551" s="1586"/>
      <c r="P1551" s="1586"/>
      <c r="Q1551" s="1586"/>
      <c r="R1551" s="1586"/>
      <c r="S1551" s="1586"/>
      <c r="T1551" s="1586"/>
    </row>
    <row r="1552" spans="1:23" ht="9.6" customHeight="1">
      <c r="A1552" s="1587"/>
      <c r="B1552" s="1587"/>
      <c r="C1552" s="1587"/>
      <c r="D1552" s="1587"/>
      <c r="E1552" s="1587"/>
      <c r="F1552" s="1587"/>
      <c r="G1552" s="1586"/>
      <c r="H1552" s="1586"/>
      <c r="I1552" s="1586"/>
      <c r="J1552" s="1586"/>
      <c r="K1552" s="1586"/>
      <c r="L1552" s="1586"/>
      <c r="M1552" s="1586"/>
      <c r="N1552" s="1586"/>
      <c r="O1552" s="1586"/>
      <c r="P1552" s="1586"/>
      <c r="Q1552" s="1586"/>
      <c r="R1552" s="1586"/>
      <c r="S1552" s="1586"/>
      <c r="T1552" s="1586"/>
    </row>
    <row r="1553" spans="1:23" ht="13.35" customHeight="1">
      <c r="A1553" s="1587"/>
      <c r="B1553" s="1587"/>
      <c r="C1553" s="1587"/>
      <c r="D1553" s="1587"/>
      <c r="E1553" s="1587"/>
      <c r="F1553" s="1587"/>
      <c r="G1553" s="1588" t="s">
        <v>79</v>
      </c>
      <c r="H1553" s="1588"/>
      <c r="I1553" s="1588"/>
      <c r="J1553" s="1588"/>
      <c r="K1553" s="1588"/>
      <c r="L1553" s="1588"/>
      <c r="M1553" s="1588"/>
      <c r="N1553" s="1588"/>
      <c r="O1553" s="1588"/>
      <c r="P1553" s="1588"/>
      <c r="Q1553" s="1588"/>
      <c r="R1553" s="1588"/>
    </row>
    <row r="1554" spans="1:23" ht="5.25" customHeight="1">
      <c r="A1554" s="1587"/>
      <c r="B1554" s="1587"/>
      <c r="C1554" s="1587"/>
      <c r="D1554" s="1587"/>
      <c r="E1554" s="1587"/>
      <c r="F1554" s="1587"/>
      <c r="G1554" s="1581" t="s">
        <v>7015</v>
      </c>
      <c r="H1554" s="1581"/>
      <c r="I1554" s="1581"/>
      <c r="J1554" s="1581"/>
      <c r="K1554" s="1581"/>
      <c r="L1554" s="1581"/>
      <c r="M1554" s="1581"/>
      <c r="N1554" s="1581"/>
      <c r="O1554" s="1581"/>
      <c r="P1554" s="1581"/>
      <c r="Q1554" s="1581"/>
    </row>
    <row r="1555" spans="1:23" ht="8.1" customHeight="1">
      <c r="B1555" s="1580" t="s">
        <v>1916</v>
      </c>
      <c r="C1555" s="1580"/>
      <c r="D1555" s="1580"/>
      <c r="E1555" s="1580"/>
      <c r="F1555" s="1580"/>
      <c r="G1555" s="1580"/>
      <c r="H1555" s="1581"/>
      <c r="I1555" s="1581"/>
      <c r="J1555" s="1581"/>
      <c r="K1555" s="1581"/>
      <c r="L1555" s="1581"/>
      <c r="M1555" s="1581"/>
      <c r="N1555" s="1582" t="s">
        <v>5619</v>
      </c>
      <c r="O1555" s="1582"/>
      <c r="P1555" s="1582"/>
      <c r="Q1555" s="1582"/>
      <c r="R1555" s="1582"/>
      <c r="S1555" s="1582"/>
      <c r="T1555" s="1583" t="s">
        <v>7016</v>
      </c>
      <c r="U1555" s="1583"/>
      <c r="V1555" s="1583"/>
      <c r="W1555" s="1583"/>
    </row>
    <row r="1556" spans="1:23" ht="6" customHeight="1">
      <c r="B1556" s="1580"/>
      <c r="C1556" s="1580"/>
      <c r="D1556" s="1580"/>
      <c r="E1556" s="1580"/>
      <c r="F1556" s="1580"/>
      <c r="G1556" s="1580"/>
      <c r="H1556" s="1584" t="s">
        <v>7017</v>
      </c>
      <c r="I1556" s="1584"/>
      <c r="J1556" s="1584"/>
      <c r="K1556" s="1584"/>
      <c r="L1556" s="1584"/>
      <c r="M1556" s="1584"/>
      <c r="N1556" s="1582"/>
      <c r="O1556" s="1582"/>
      <c r="P1556" s="1582"/>
      <c r="Q1556" s="1582"/>
      <c r="R1556" s="1582"/>
      <c r="S1556" s="1582"/>
      <c r="T1556" s="1583"/>
      <c r="U1556" s="1583"/>
      <c r="V1556" s="1583"/>
      <c r="W1556" s="1583"/>
    </row>
    <row r="1557" spans="1:23" ht="7.35" customHeight="1">
      <c r="B1557" s="1580" t="s">
        <v>1994</v>
      </c>
      <c r="C1557" s="1580"/>
      <c r="D1557" s="1580"/>
      <c r="E1557" s="1585"/>
      <c r="F1557" s="1585"/>
      <c r="G1557" s="1585"/>
      <c r="H1557" s="1585"/>
      <c r="I1557" s="1585"/>
      <c r="J1557" s="1585"/>
      <c r="K1557" s="1585"/>
      <c r="L1557" s="1585"/>
      <c r="M1557" s="1585"/>
      <c r="N1557" s="1585"/>
      <c r="O1557" s="1585"/>
      <c r="P1557" s="1585"/>
      <c r="Q1557" s="1585"/>
      <c r="R1557" s="1582"/>
      <c r="S1557" s="1582"/>
      <c r="T1557" s="1582" t="s">
        <v>7018</v>
      </c>
      <c r="U1557" s="1582"/>
    </row>
    <row r="1558" spans="1:23" ht="6.75" customHeight="1">
      <c r="E1558" s="1585"/>
      <c r="F1558" s="1585"/>
      <c r="G1558" s="1585"/>
      <c r="H1558" s="1585"/>
      <c r="I1558" s="1585"/>
      <c r="J1558" s="1585"/>
      <c r="K1558" s="1585"/>
      <c r="L1558" s="1585"/>
      <c r="M1558" s="1585"/>
      <c r="N1558" s="1585"/>
      <c r="O1558" s="1585"/>
      <c r="P1558" s="1585"/>
      <c r="Q1558" s="1585"/>
      <c r="R1558" s="1582"/>
      <c r="S1558" s="1582"/>
      <c r="T1558" s="1582"/>
      <c r="U1558" s="1582"/>
    </row>
    <row r="1559" spans="1:23" ht="10.9" customHeight="1">
      <c r="A1559" s="1576"/>
      <c r="B1559" s="1576"/>
      <c r="C1559" s="1576"/>
      <c r="D1559" s="1576"/>
      <c r="E1559" s="1576"/>
      <c r="F1559" s="1576"/>
      <c r="G1559" s="1576"/>
      <c r="H1559" s="1576"/>
      <c r="I1559" s="1576"/>
      <c r="J1559" s="1577" t="s">
        <v>1314</v>
      </c>
      <c r="K1559" s="1577"/>
      <c r="L1559" s="1577" t="s">
        <v>1315</v>
      </c>
      <c r="M1559" s="1577"/>
      <c r="N1559" s="1577"/>
      <c r="O1559" s="1577" t="s">
        <v>1316</v>
      </c>
      <c r="P1559" s="1577"/>
      <c r="Q1559" s="1577"/>
      <c r="R1559" s="1577"/>
      <c r="S1559" s="1577"/>
      <c r="T1559" s="1577"/>
      <c r="U1559" s="1577"/>
    </row>
    <row r="1560" spans="1:23" ht="14.1" customHeight="1">
      <c r="A1560" s="1578" t="s">
        <v>1317</v>
      </c>
      <c r="B1560" s="1578"/>
      <c r="C1560" s="1578" t="s">
        <v>1318</v>
      </c>
      <c r="D1560" s="1578"/>
      <c r="E1560" s="1578"/>
      <c r="F1560" s="1578" t="s">
        <v>1319</v>
      </c>
      <c r="G1560" s="1578"/>
      <c r="H1560" s="1578"/>
      <c r="I1560" s="1578"/>
      <c r="J1560" s="1413" t="s">
        <v>1320</v>
      </c>
      <c r="K1560" s="1413" t="s">
        <v>1321</v>
      </c>
      <c r="L1560" s="1413" t="s">
        <v>1320</v>
      </c>
      <c r="M1560" s="1579" t="s">
        <v>1321</v>
      </c>
      <c r="N1560" s="1579"/>
      <c r="O1560" s="1579" t="s">
        <v>1320</v>
      </c>
      <c r="P1560" s="1579"/>
      <c r="Q1560" s="1579" t="s">
        <v>1321</v>
      </c>
      <c r="R1560" s="1579"/>
      <c r="S1560" s="1579"/>
      <c r="T1560" s="1579"/>
      <c r="U1560" s="1579"/>
    </row>
    <row r="1561" spans="1:23" ht="22.5" customHeight="1">
      <c r="A1561" s="1574" t="s">
        <v>345</v>
      </c>
      <c r="B1561" s="1574"/>
      <c r="C1561" s="1574" t="s">
        <v>6343</v>
      </c>
      <c r="D1561" s="1574"/>
      <c r="E1561" s="1574"/>
      <c r="F1561" s="1574" t="s">
        <v>2423</v>
      </c>
      <c r="G1561" s="1574"/>
      <c r="H1561" s="1574"/>
      <c r="I1561" s="1574"/>
      <c r="J1561" s="1412">
        <v>0</v>
      </c>
      <c r="K1561" s="1412">
        <v>50000</v>
      </c>
      <c r="L1561" s="1412">
        <v>0</v>
      </c>
      <c r="M1561" s="1575">
        <v>0</v>
      </c>
      <c r="N1561" s="1575"/>
      <c r="O1561" s="1575">
        <v>0</v>
      </c>
      <c r="P1561" s="1575"/>
      <c r="Q1561" s="1575">
        <v>50000</v>
      </c>
      <c r="R1561" s="1575"/>
      <c r="S1561" s="1575"/>
      <c r="T1561" s="1575"/>
      <c r="U1561" s="1575"/>
    </row>
    <row r="1562" spans="1:23" ht="19.149999999999999" customHeight="1">
      <c r="A1562" s="1574" t="s">
        <v>345</v>
      </c>
      <c r="B1562" s="1574"/>
      <c r="C1562" s="1574" t="s">
        <v>6344</v>
      </c>
      <c r="D1562" s="1574"/>
      <c r="E1562" s="1574"/>
      <c r="F1562" s="1574" t="s">
        <v>2418</v>
      </c>
      <c r="G1562" s="1574"/>
      <c r="H1562" s="1574"/>
      <c r="I1562" s="1574"/>
      <c r="J1562" s="1412">
        <v>0</v>
      </c>
      <c r="K1562" s="1412">
        <v>240000</v>
      </c>
      <c r="L1562" s="1412">
        <v>0</v>
      </c>
      <c r="M1562" s="1575">
        <v>0</v>
      </c>
      <c r="N1562" s="1575"/>
      <c r="O1562" s="1575">
        <v>0</v>
      </c>
      <c r="P1562" s="1575"/>
      <c r="Q1562" s="1575">
        <v>240000</v>
      </c>
      <c r="R1562" s="1575"/>
      <c r="S1562" s="1575"/>
      <c r="T1562" s="1575"/>
      <c r="U1562" s="1575"/>
    </row>
    <row r="1563" spans="1:23" ht="19.149999999999999" customHeight="1">
      <c r="A1563" s="1574" t="s">
        <v>345</v>
      </c>
      <c r="B1563" s="1574"/>
      <c r="C1563" s="1574" t="s">
        <v>6345</v>
      </c>
      <c r="D1563" s="1574"/>
      <c r="E1563" s="1574"/>
      <c r="F1563" s="1574" t="s">
        <v>2443</v>
      </c>
      <c r="G1563" s="1574"/>
      <c r="H1563" s="1574"/>
      <c r="I1563" s="1574"/>
      <c r="J1563" s="1412">
        <v>0</v>
      </c>
      <c r="K1563" s="1412">
        <v>35000</v>
      </c>
      <c r="L1563" s="1412">
        <v>0</v>
      </c>
      <c r="M1563" s="1575">
        <v>0</v>
      </c>
      <c r="N1563" s="1575"/>
      <c r="O1563" s="1575">
        <v>0</v>
      </c>
      <c r="P1563" s="1575"/>
      <c r="Q1563" s="1575">
        <v>35000</v>
      </c>
      <c r="R1563" s="1575"/>
      <c r="S1563" s="1575"/>
      <c r="T1563" s="1575"/>
      <c r="U1563" s="1575"/>
    </row>
    <row r="1564" spans="1:23" ht="19.149999999999999" customHeight="1">
      <c r="A1564" s="1574" t="s">
        <v>345</v>
      </c>
      <c r="B1564" s="1574"/>
      <c r="C1564" s="1574" t="s">
        <v>6346</v>
      </c>
      <c r="D1564" s="1574"/>
      <c r="E1564" s="1574"/>
      <c r="F1564" s="1574" t="s">
        <v>2476</v>
      </c>
      <c r="G1564" s="1574"/>
      <c r="H1564" s="1574"/>
      <c r="I1564" s="1574"/>
      <c r="J1564" s="1412">
        <v>0</v>
      </c>
      <c r="K1564" s="1412">
        <v>60000</v>
      </c>
      <c r="L1564" s="1412">
        <v>0</v>
      </c>
      <c r="M1564" s="1575">
        <v>0</v>
      </c>
      <c r="N1564" s="1575"/>
      <c r="O1564" s="1575">
        <v>0</v>
      </c>
      <c r="P1564" s="1575"/>
      <c r="Q1564" s="1575">
        <v>60000</v>
      </c>
      <c r="R1564" s="1575"/>
      <c r="S1564" s="1575"/>
      <c r="T1564" s="1575"/>
      <c r="U1564" s="1575"/>
    </row>
    <row r="1565" spans="1:23" ht="19.149999999999999" customHeight="1">
      <c r="A1565" s="1574" t="s">
        <v>345</v>
      </c>
      <c r="B1565" s="1574"/>
      <c r="C1565" s="1574" t="s">
        <v>6347</v>
      </c>
      <c r="D1565" s="1574"/>
      <c r="E1565" s="1574"/>
      <c r="F1565" s="1574" t="s">
        <v>2486</v>
      </c>
      <c r="G1565" s="1574"/>
      <c r="H1565" s="1574"/>
      <c r="I1565" s="1574"/>
      <c r="J1565" s="1412">
        <v>0</v>
      </c>
      <c r="K1565" s="1412">
        <v>7500</v>
      </c>
      <c r="L1565" s="1412">
        <v>0</v>
      </c>
      <c r="M1565" s="1575">
        <v>0</v>
      </c>
      <c r="N1565" s="1575"/>
      <c r="O1565" s="1575">
        <v>0</v>
      </c>
      <c r="P1565" s="1575"/>
      <c r="Q1565" s="1575">
        <v>7500</v>
      </c>
      <c r="R1565" s="1575"/>
      <c r="S1565" s="1575"/>
      <c r="T1565" s="1575"/>
      <c r="U1565" s="1575"/>
    </row>
    <row r="1566" spans="1:23" ht="19.149999999999999" customHeight="1">
      <c r="A1566" s="1574" t="s">
        <v>345</v>
      </c>
      <c r="B1566" s="1574"/>
      <c r="C1566" s="1574" t="s">
        <v>6348</v>
      </c>
      <c r="D1566" s="1574"/>
      <c r="E1566" s="1574"/>
      <c r="F1566" s="1574" t="s">
        <v>2421</v>
      </c>
      <c r="G1566" s="1574"/>
      <c r="H1566" s="1574"/>
      <c r="I1566" s="1574"/>
      <c r="J1566" s="1412">
        <v>0</v>
      </c>
      <c r="K1566" s="1412">
        <v>78000</v>
      </c>
      <c r="L1566" s="1412">
        <v>0</v>
      </c>
      <c r="M1566" s="1575">
        <v>0</v>
      </c>
      <c r="N1566" s="1575"/>
      <c r="O1566" s="1575">
        <v>0</v>
      </c>
      <c r="P1566" s="1575"/>
      <c r="Q1566" s="1575">
        <v>78000</v>
      </c>
      <c r="R1566" s="1575"/>
      <c r="S1566" s="1575"/>
      <c r="T1566" s="1575"/>
      <c r="U1566" s="1575"/>
    </row>
    <row r="1567" spans="1:23" ht="19.149999999999999" customHeight="1">
      <c r="A1567" s="1574" t="s">
        <v>345</v>
      </c>
      <c r="B1567" s="1574"/>
      <c r="C1567" s="1574" t="s">
        <v>6349</v>
      </c>
      <c r="D1567" s="1574"/>
      <c r="E1567" s="1574"/>
      <c r="F1567" s="1574" t="s">
        <v>2423</v>
      </c>
      <c r="G1567" s="1574"/>
      <c r="H1567" s="1574"/>
      <c r="I1567" s="1574"/>
      <c r="J1567" s="1412">
        <v>0</v>
      </c>
      <c r="K1567" s="1412">
        <v>65000</v>
      </c>
      <c r="L1567" s="1412">
        <v>0</v>
      </c>
      <c r="M1567" s="1575">
        <v>0</v>
      </c>
      <c r="N1567" s="1575"/>
      <c r="O1567" s="1575">
        <v>0</v>
      </c>
      <c r="P1567" s="1575"/>
      <c r="Q1567" s="1575">
        <v>65000</v>
      </c>
      <c r="R1567" s="1575"/>
      <c r="S1567" s="1575"/>
      <c r="T1567" s="1575"/>
      <c r="U1567" s="1575"/>
    </row>
    <row r="1568" spans="1:23" ht="19.149999999999999" customHeight="1">
      <c r="A1568" s="1574" t="s">
        <v>345</v>
      </c>
      <c r="B1568" s="1574"/>
      <c r="C1568" s="1574" t="s">
        <v>6350</v>
      </c>
      <c r="D1568" s="1574"/>
      <c r="E1568" s="1574"/>
      <c r="F1568" s="1574" t="s">
        <v>2500</v>
      </c>
      <c r="G1568" s="1574"/>
      <c r="H1568" s="1574"/>
      <c r="I1568" s="1574"/>
      <c r="J1568" s="1412">
        <v>0</v>
      </c>
      <c r="K1568" s="1412">
        <v>180000</v>
      </c>
      <c r="L1568" s="1412">
        <v>0</v>
      </c>
      <c r="M1568" s="1575">
        <v>0</v>
      </c>
      <c r="N1568" s="1575"/>
      <c r="O1568" s="1575">
        <v>0</v>
      </c>
      <c r="P1568" s="1575"/>
      <c r="Q1568" s="1575">
        <v>180000</v>
      </c>
      <c r="R1568" s="1575"/>
      <c r="S1568" s="1575"/>
      <c r="T1568" s="1575"/>
      <c r="U1568" s="1575"/>
    </row>
    <row r="1569" spans="1:21" ht="19.149999999999999" customHeight="1">
      <c r="A1569" s="1574" t="s">
        <v>345</v>
      </c>
      <c r="B1569" s="1574"/>
      <c r="C1569" s="1574" t="s">
        <v>6833</v>
      </c>
      <c r="D1569" s="1574"/>
      <c r="E1569" s="1574"/>
      <c r="F1569" s="1574" t="s">
        <v>2443</v>
      </c>
      <c r="G1569" s="1574"/>
      <c r="H1569" s="1574"/>
      <c r="I1569" s="1574"/>
      <c r="J1569" s="1412">
        <v>0</v>
      </c>
      <c r="K1569" s="1412">
        <v>-6300000</v>
      </c>
      <c r="L1569" s="1412">
        <v>0</v>
      </c>
      <c r="M1569" s="1575">
        <v>0</v>
      </c>
      <c r="N1569" s="1575"/>
      <c r="O1569" s="1575">
        <v>0</v>
      </c>
      <c r="P1569" s="1575"/>
      <c r="Q1569" s="1575">
        <v>-6300000</v>
      </c>
      <c r="R1569" s="1575"/>
      <c r="S1569" s="1575"/>
      <c r="T1569" s="1575"/>
      <c r="U1569" s="1575"/>
    </row>
    <row r="1570" spans="1:21" ht="19.149999999999999" customHeight="1">
      <c r="A1570" s="1574" t="s">
        <v>345</v>
      </c>
      <c r="B1570" s="1574"/>
      <c r="C1570" s="1574" t="s">
        <v>6834</v>
      </c>
      <c r="D1570" s="1574"/>
      <c r="E1570" s="1574"/>
      <c r="F1570" s="1574" t="s">
        <v>2443</v>
      </c>
      <c r="G1570" s="1574"/>
      <c r="H1570" s="1574"/>
      <c r="I1570" s="1574"/>
      <c r="J1570" s="1412">
        <v>0</v>
      </c>
      <c r="K1570" s="1412">
        <v>6300000</v>
      </c>
      <c r="L1570" s="1412">
        <v>0</v>
      </c>
      <c r="M1570" s="1575">
        <v>0</v>
      </c>
      <c r="N1570" s="1575"/>
      <c r="O1570" s="1575">
        <v>0</v>
      </c>
      <c r="P1570" s="1575"/>
      <c r="Q1570" s="1575">
        <v>6300000</v>
      </c>
      <c r="R1570" s="1575"/>
      <c r="S1570" s="1575"/>
      <c r="T1570" s="1575"/>
      <c r="U1570" s="1575"/>
    </row>
    <row r="1571" spans="1:21" ht="19.149999999999999" customHeight="1">
      <c r="A1571" s="1574" t="s">
        <v>345</v>
      </c>
      <c r="B1571" s="1574"/>
      <c r="C1571" s="1574" t="s">
        <v>7059</v>
      </c>
      <c r="D1571" s="1574"/>
      <c r="E1571" s="1574"/>
      <c r="F1571" s="1574" t="s">
        <v>2398</v>
      </c>
      <c r="G1571" s="1574"/>
      <c r="H1571" s="1574"/>
      <c r="I1571" s="1574"/>
      <c r="J1571" s="1412">
        <v>0</v>
      </c>
      <c r="K1571" s="1412">
        <v>0</v>
      </c>
      <c r="L1571" s="1412">
        <v>0</v>
      </c>
      <c r="M1571" s="1575">
        <v>13805.88</v>
      </c>
      <c r="N1571" s="1575"/>
      <c r="O1571" s="1575">
        <v>0</v>
      </c>
      <c r="P1571" s="1575"/>
      <c r="Q1571" s="1575">
        <v>13805.88</v>
      </c>
      <c r="R1571" s="1575"/>
      <c r="S1571" s="1575"/>
      <c r="T1571" s="1575"/>
      <c r="U1571" s="1575"/>
    </row>
    <row r="1572" spans="1:21" ht="19.149999999999999" customHeight="1">
      <c r="A1572" s="1574" t="s">
        <v>345</v>
      </c>
      <c r="B1572" s="1574"/>
      <c r="C1572" s="1574" t="s">
        <v>7060</v>
      </c>
      <c r="D1572" s="1574"/>
      <c r="E1572" s="1574"/>
      <c r="F1572" s="1574" t="s">
        <v>2392</v>
      </c>
      <c r="G1572" s="1574"/>
      <c r="H1572" s="1574"/>
      <c r="I1572" s="1574"/>
      <c r="J1572" s="1412">
        <v>0</v>
      </c>
      <c r="K1572" s="1412">
        <v>0</v>
      </c>
      <c r="L1572" s="1412">
        <v>12271.65</v>
      </c>
      <c r="M1572" s="1575">
        <v>0</v>
      </c>
      <c r="N1572" s="1575"/>
      <c r="O1572" s="1575">
        <v>0</v>
      </c>
      <c r="P1572" s="1575"/>
      <c r="Q1572" s="1575">
        <v>-12271.65</v>
      </c>
      <c r="R1572" s="1575"/>
      <c r="S1572" s="1575"/>
      <c r="T1572" s="1575"/>
      <c r="U1572" s="1575"/>
    </row>
    <row r="1573" spans="1:21" ht="19.149999999999999" customHeight="1">
      <c r="A1573" s="1574" t="s">
        <v>345</v>
      </c>
      <c r="B1573" s="1574"/>
      <c r="C1573" s="1574" t="s">
        <v>7061</v>
      </c>
      <c r="D1573" s="1574"/>
      <c r="E1573" s="1574"/>
      <c r="F1573" s="1574" t="s">
        <v>2398</v>
      </c>
      <c r="G1573" s="1574"/>
      <c r="H1573" s="1574"/>
      <c r="I1573" s="1574"/>
      <c r="J1573" s="1412">
        <v>0</v>
      </c>
      <c r="K1573" s="1412">
        <v>0</v>
      </c>
      <c r="L1573" s="1412">
        <v>2371.42</v>
      </c>
      <c r="M1573" s="1575">
        <v>0</v>
      </c>
      <c r="N1573" s="1575"/>
      <c r="O1573" s="1575">
        <v>0</v>
      </c>
      <c r="P1573" s="1575"/>
      <c r="Q1573" s="1575">
        <v>-2371.42</v>
      </c>
      <c r="R1573" s="1575"/>
      <c r="S1573" s="1575"/>
      <c r="T1573" s="1575"/>
      <c r="U1573" s="1575"/>
    </row>
    <row r="1574" spans="1:21" ht="10.9" customHeight="1">
      <c r="A1574" s="1574" t="s">
        <v>1322</v>
      </c>
      <c r="B1574" s="1574"/>
      <c r="C1574" s="1574" t="s">
        <v>1693</v>
      </c>
      <c r="D1574" s="1574"/>
      <c r="E1574" s="1574"/>
      <c r="F1574" s="1574" t="s">
        <v>1694</v>
      </c>
      <c r="G1574" s="1574"/>
      <c r="H1574" s="1574"/>
      <c r="I1574" s="1574"/>
      <c r="J1574" s="1412">
        <v>0</v>
      </c>
      <c r="K1574" s="1412">
        <v>0</v>
      </c>
      <c r="L1574" s="1412">
        <v>8472251.1699999999</v>
      </c>
      <c r="M1574" s="1575">
        <v>8472251.1699999999</v>
      </c>
      <c r="N1574" s="1575"/>
      <c r="O1574" s="1575">
        <v>0</v>
      </c>
      <c r="P1574" s="1575"/>
      <c r="Q1574" s="1575">
        <v>0</v>
      </c>
      <c r="R1574" s="1575"/>
      <c r="S1574" s="1575"/>
      <c r="T1574" s="1575"/>
      <c r="U1574" s="1575"/>
    </row>
    <row r="1575" spans="1:21" ht="19.149999999999999" customHeight="1">
      <c r="A1575" s="1574" t="s">
        <v>1322</v>
      </c>
      <c r="B1575" s="1574"/>
      <c r="C1575" s="1574" t="s">
        <v>2630</v>
      </c>
      <c r="D1575" s="1574"/>
      <c r="E1575" s="1574"/>
      <c r="F1575" s="1574" t="s">
        <v>2387</v>
      </c>
      <c r="G1575" s="1574"/>
      <c r="H1575" s="1574"/>
      <c r="I1575" s="1574"/>
      <c r="J1575" s="1412">
        <v>0</v>
      </c>
      <c r="K1575" s="1412">
        <v>0</v>
      </c>
      <c r="L1575" s="1412">
        <v>46160.4</v>
      </c>
      <c r="M1575" s="1575">
        <v>46160.4</v>
      </c>
      <c r="N1575" s="1575"/>
      <c r="O1575" s="1575">
        <v>0</v>
      </c>
      <c r="P1575" s="1575"/>
      <c r="Q1575" s="1575">
        <v>0</v>
      </c>
      <c r="R1575" s="1575"/>
      <c r="S1575" s="1575"/>
      <c r="T1575" s="1575"/>
      <c r="U1575" s="1575"/>
    </row>
    <row r="1576" spans="1:21" ht="19.149999999999999" customHeight="1">
      <c r="A1576" s="1574" t="s">
        <v>1322</v>
      </c>
      <c r="B1576" s="1574"/>
      <c r="C1576" s="1574" t="s">
        <v>7062</v>
      </c>
      <c r="D1576" s="1574"/>
      <c r="E1576" s="1574"/>
      <c r="F1576" s="1574" t="s">
        <v>2390</v>
      </c>
      <c r="G1576" s="1574"/>
      <c r="H1576" s="1574"/>
      <c r="I1576" s="1574"/>
      <c r="J1576" s="1412">
        <v>0</v>
      </c>
      <c r="K1576" s="1412">
        <v>0</v>
      </c>
      <c r="L1576" s="1412">
        <v>77857.210000000006</v>
      </c>
      <c r="M1576" s="1575">
        <v>77857.210000000006</v>
      </c>
      <c r="N1576" s="1575"/>
      <c r="O1576" s="1575">
        <v>0</v>
      </c>
      <c r="P1576" s="1575"/>
      <c r="Q1576" s="1575">
        <v>0</v>
      </c>
      <c r="R1576" s="1575"/>
      <c r="S1576" s="1575"/>
      <c r="T1576" s="1575"/>
      <c r="U1576" s="1575"/>
    </row>
    <row r="1577" spans="1:21" ht="19.149999999999999" customHeight="1">
      <c r="A1577" s="1574" t="s">
        <v>1322</v>
      </c>
      <c r="B1577" s="1574"/>
      <c r="C1577" s="1574" t="s">
        <v>6351</v>
      </c>
      <c r="D1577" s="1574"/>
      <c r="E1577" s="1574"/>
      <c r="F1577" s="1574" t="s">
        <v>2392</v>
      </c>
      <c r="G1577" s="1574"/>
      <c r="H1577" s="1574"/>
      <c r="I1577" s="1574"/>
      <c r="J1577" s="1412">
        <v>0</v>
      </c>
      <c r="K1577" s="1412">
        <v>0</v>
      </c>
      <c r="L1577" s="1412">
        <v>3846.7</v>
      </c>
      <c r="M1577" s="1575">
        <v>3846.7</v>
      </c>
      <c r="N1577" s="1575"/>
      <c r="O1577" s="1575">
        <v>0</v>
      </c>
      <c r="P1577" s="1575"/>
      <c r="Q1577" s="1575">
        <v>0</v>
      </c>
      <c r="R1577" s="1575"/>
      <c r="S1577" s="1575"/>
      <c r="T1577" s="1575"/>
      <c r="U1577" s="1575"/>
    </row>
    <row r="1578" spans="1:21" ht="19.149999999999999" customHeight="1">
      <c r="A1578" s="1574" t="s">
        <v>1322</v>
      </c>
      <c r="B1578" s="1574"/>
      <c r="C1578" s="1574" t="s">
        <v>2631</v>
      </c>
      <c r="D1578" s="1574"/>
      <c r="E1578" s="1574"/>
      <c r="F1578" s="1574" t="s">
        <v>2396</v>
      </c>
      <c r="G1578" s="1574"/>
      <c r="H1578" s="1574"/>
      <c r="I1578" s="1574"/>
      <c r="J1578" s="1412">
        <v>0</v>
      </c>
      <c r="K1578" s="1412">
        <v>0</v>
      </c>
      <c r="L1578" s="1412">
        <v>11770.92</v>
      </c>
      <c r="M1578" s="1575">
        <v>11770.92</v>
      </c>
      <c r="N1578" s="1575"/>
      <c r="O1578" s="1575">
        <v>0</v>
      </c>
      <c r="P1578" s="1575"/>
      <c r="Q1578" s="1575">
        <v>0</v>
      </c>
      <c r="R1578" s="1575"/>
      <c r="S1578" s="1575"/>
      <c r="T1578" s="1575"/>
      <c r="U1578" s="1575"/>
    </row>
    <row r="1579" spans="1:21" ht="19.149999999999999" customHeight="1">
      <c r="A1579" s="1574" t="s">
        <v>1322</v>
      </c>
      <c r="B1579" s="1574"/>
      <c r="C1579" s="1574" t="s">
        <v>2632</v>
      </c>
      <c r="D1579" s="1574"/>
      <c r="E1579" s="1574"/>
      <c r="F1579" s="1574" t="s">
        <v>2398</v>
      </c>
      <c r="G1579" s="1574"/>
      <c r="H1579" s="1574"/>
      <c r="I1579" s="1574"/>
      <c r="J1579" s="1412">
        <v>0</v>
      </c>
      <c r="K1579" s="1412">
        <v>0</v>
      </c>
      <c r="L1579" s="1412">
        <v>216.07</v>
      </c>
      <c r="M1579" s="1575">
        <v>216.07</v>
      </c>
      <c r="N1579" s="1575"/>
      <c r="O1579" s="1575">
        <v>0</v>
      </c>
      <c r="P1579" s="1575"/>
      <c r="Q1579" s="1575">
        <v>0</v>
      </c>
      <c r="R1579" s="1575"/>
      <c r="S1579" s="1575"/>
      <c r="T1579" s="1575"/>
      <c r="U1579" s="1575"/>
    </row>
    <row r="1580" spans="1:21" ht="19.149999999999999" customHeight="1">
      <c r="A1580" s="1574" t="s">
        <v>1322</v>
      </c>
      <c r="B1580" s="1574"/>
      <c r="C1580" s="1574" t="s">
        <v>2633</v>
      </c>
      <c r="D1580" s="1574"/>
      <c r="E1580" s="1574"/>
      <c r="F1580" s="1574" t="s">
        <v>2400</v>
      </c>
      <c r="G1580" s="1574"/>
      <c r="H1580" s="1574"/>
      <c r="I1580" s="1574"/>
      <c r="J1580" s="1412">
        <v>0</v>
      </c>
      <c r="K1580" s="1412">
        <v>0</v>
      </c>
      <c r="L1580" s="1412">
        <v>0</v>
      </c>
      <c r="M1580" s="1575">
        <v>0</v>
      </c>
      <c r="N1580" s="1575"/>
      <c r="O1580" s="1575">
        <v>0</v>
      </c>
      <c r="P1580" s="1575"/>
      <c r="Q1580" s="1575">
        <v>0</v>
      </c>
      <c r="R1580" s="1575"/>
      <c r="S1580" s="1575"/>
      <c r="T1580" s="1575"/>
      <c r="U1580" s="1575"/>
    </row>
    <row r="1581" spans="1:21" ht="19.149999999999999" customHeight="1">
      <c r="A1581" s="1574" t="s">
        <v>1322</v>
      </c>
      <c r="B1581" s="1574"/>
      <c r="C1581" s="1574" t="s">
        <v>2634</v>
      </c>
      <c r="D1581" s="1574"/>
      <c r="E1581" s="1574"/>
      <c r="F1581" s="1574" t="s">
        <v>2402</v>
      </c>
      <c r="G1581" s="1574"/>
      <c r="H1581" s="1574"/>
      <c r="I1581" s="1574"/>
      <c r="J1581" s="1412">
        <v>0</v>
      </c>
      <c r="K1581" s="1412">
        <v>0</v>
      </c>
      <c r="L1581" s="1412">
        <v>2688.6</v>
      </c>
      <c r="M1581" s="1575">
        <v>2688.6</v>
      </c>
      <c r="N1581" s="1575"/>
      <c r="O1581" s="1575">
        <v>0</v>
      </c>
      <c r="P1581" s="1575"/>
      <c r="Q1581" s="1575">
        <v>0</v>
      </c>
      <c r="R1581" s="1575"/>
      <c r="S1581" s="1575"/>
      <c r="T1581" s="1575"/>
      <c r="U1581" s="1575"/>
    </row>
    <row r="1582" spans="1:21" ht="19.149999999999999" customHeight="1">
      <c r="A1582" s="1574" t="s">
        <v>1322</v>
      </c>
      <c r="B1582" s="1574"/>
      <c r="C1582" s="1574" t="s">
        <v>3321</v>
      </c>
      <c r="D1582" s="1574"/>
      <c r="E1582" s="1574"/>
      <c r="F1582" s="1574" t="s">
        <v>2404</v>
      </c>
      <c r="G1582" s="1574"/>
      <c r="H1582" s="1574"/>
      <c r="I1582" s="1574"/>
      <c r="J1582" s="1412">
        <v>0</v>
      </c>
      <c r="K1582" s="1412">
        <v>0</v>
      </c>
      <c r="L1582" s="1412">
        <v>309570.68</v>
      </c>
      <c r="M1582" s="1575">
        <v>309570.68</v>
      </c>
      <c r="N1582" s="1575"/>
      <c r="O1582" s="1575">
        <v>0</v>
      </c>
      <c r="P1582" s="1575"/>
      <c r="Q1582" s="1575">
        <v>0</v>
      </c>
      <c r="R1582" s="1575"/>
      <c r="S1582" s="1575"/>
      <c r="T1582" s="1575"/>
      <c r="U1582" s="1575"/>
    </row>
    <row r="1583" spans="1:21" ht="19.149999999999999" customHeight="1">
      <c r="A1583" s="1574" t="s">
        <v>1322</v>
      </c>
      <c r="B1583" s="1574"/>
      <c r="C1583" s="1574" t="s">
        <v>3322</v>
      </c>
      <c r="D1583" s="1574"/>
      <c r="E1583" s="1574"/>
      <c r="F1583" s="1574" t="s">
        <v>2404</v>
      </c>
      <c r="G1583" s="1574"/>
      <c r="H1583" s="1574"/>
      <c r="I1583" s="1574"/>
      <c r="J1583" s="1412">
        <v>0</v>
      </c>
      <c r="K1583" s="1412">
        <v>0</v>
      </c>
      <c r="L1583" s="1412">
        <v>105454.58</v>
      </c>
      <c r="M1583" s="1575">
        <v>105454.58</v>
      </c>
      <c r="N1583" s="1575"/>
      <c r="O1583" s="1575">
        <v>0</v>
      </c>
      <c r="P1583" s="1575"/>
      <c r="Q1583" s="1575">
        <v>0</v>
      </c>
      <c r="R1583" s="1575"/>
      <c r="S1583" s="1575"/>
      <c r="T1583" s="1575"/>
      <c r="U1583" s="1575"/>
    </row>
    <row r="1584" spans="1:21" ht="15.2" customHeight="1"/>
    <row r="1585" spans="1:23" ht="14.1" customHeight="1">
      <c r="S1585" s="1573" t="s">
        <v>6557</v>
      </c>
      <c r="T1585" s="1573"/>
      <c r="U1585" s="1573"/>
      <c r="V1585" s="1573"/>
      <c r="W1585" s="1573"/>
    </row>
    <row r="1586" spans="1:23" ht="7.15" customHeight="1">
      <c r="C1586" s="1586" t="s">
        <v>2987</v>
      </c>
      <c r="D1586" s="1586"/>
      <c r="E1586" s="1586"/>
      <c r="F1586" s="1586"/>
      <c r="G1586" s="1586"/>
      <c r="H1586" s="1586"/>
      <c r="I1586" s="1586"/>
      <c r="J1586" s="1586"/>
      <c r="K1586" s="1586"/>
      <c r="L1586" s="1586"/>
      <c r="M1586" s="1586"/>
      <c r="N1586" s="1586"/>
      <c r="O1586" s="1586"/>
      <c r="P1586" s="1586"/>
      <c r="Q1586" s="1586"/>
      <c r="R1586" s="1586"/>
      <c r="S1586" s="1586"/>
      <c r="T1586" s="1586"/>
    </row>
    <row r="1587" spans="1:23" ht="9.6" customHeight="1">
      <c r="A1587" s="1587"/>
      <c r="B1587" s="1587"/>
      <c r="C1587" s="1587"/>
      <c r="D1587" s="1587"/>
      <c r="E1587" s="1587"/>
      <c r="F1587" s="1587"/>
      <c r="G1587" s="1586"/>
      <c r="H1587" s="1586"/>
      <c r="I1587" s="1586"/>
      <c r="J1587" s="1586"/>
      <c r="K1587" s="1586"/>
      <c r="L1587" s="1586"/>
      <c r="M1587" s="1586"/>
      <c r="N1587" s="1586"/>
      <c r="O1587" s="1586"/>
      <c r="P1587" s="1586"/>
      <c r="Q1587" s="1586"/>
      <c r="R1587" s="1586"/>
      <c r="S1587" s="1586"/>
      <c r="T1587" s="1586"/>
    </row>
    <row r="1588" spans="1:23" ht="13.35" customHeight="1">
      <c r="A1588" s="1587"/>
      <c r="B1588" s="1587"/>
      <c r="C1588" s="1587"/>
      <c r="D1588" s="1587"/>
      <c r="E1588" s="1587"/>
      <c r="F1588" s="1587"/>
      <c r="G1588" s="1588" t="s">
        <v>79</v>
      </c>
      <c r="H1588" s="1588"/>
      <c r="I1588" s="1588"/>
      <c r="J1588" s="1588"/>
      <c r="K1588" s="1588"/>
      <c r="L1588" s="1588"/>
      <c r="M1588" s="1588"/>
      <c r="N1588" s="1588"/>
      <c r="O1588" s="1588"/>
      <c r="P1588" s="1588"/>
      <c r="Q1588" s="1588"/>
      <c r="R1588" s="1588"/>
    </row>
    <row r="1589" spans="1:23" ht="5.25" customHeight="1">
      <c r="A1589" s="1587"/>
      <c r="B1589" s="1587"/>
      <c r="C1589" s="1587"/>
      <c r="D1589" s="1587"/>
      <c r="E1589" s="1587"/>
      <c r="F1589" s="1587"/>
      <c r="G1589" s="1581" t="s">
        <v>7015</v>
      </c>
      <c r="H1589" s="1581"/>
      <c r="I1589" s="1581"/>
      <c r="J1589" s="1581"/>
      <c r="K1589" s="1581"/>
      <c r="L1589" s="1581"/>
      <c r="M1589" s="1581"/>
      <c r="N1589" s="1581"/>
      <c r="O1589" s="1581"/>
      <c r="P1589" s="1581"/>
      <c r="Q1589" s="1581"/>
    </row>
    <row r="1590" spans="1:23" ht="8.1" customHeight="1">
      <c r="B1590" s="1580" t="s">
        <v>1916</v>
      </c>
      <c r="C1590" s="1580"/>
      <c r="D1590" s="1580"/>
      <c r="E1590" s="1580"/>
      <c r="F1590" s="1580"/>
      <c r="G1590" s="1580"/>
      <c r="H1590" s="1581"/>
      <c r="I1590" s="1581"/>
      <c r="J1590" s="1581"/>
      <c r="K1590" s="1581"/>
      <c r="L1590" s="1581"/>
      <c r="M1590" s="1581"/>
      <c r="N1590" s="1582" t="s">
        <v>5619</v>
      </c>
      <c r="O1590" s="1582"/>
      <c r="P1590" s="1582"/>
      <c r="Q1590" s="1582"/>
      <c r="R1590" s="1582"/>
      <c r="S1590" s="1582"/>
      <c r="T1590" s="1583" t="s">
        <v>7016</v>
      </c>
      <c r="U1590" s="1583"/>
      <c r="V1590" s="1583"/>
      <c r="W1590" s="1583"/>
    </row>
    <row r="1591" spans="1:23" ht="6" customHeight="1">
      <c r="B1591" s="1580"/>
      <c r="C1591" s="1580"/>
      <c r="D1591" s="1580"/>
      <c r="E1591" s="1580"/>
      <c r="F1591" s="1580"/>
      <c r="G1591" s="1580"/>
      <c r="H1591" s="1584" t="s">
        <v>7017</v>
      </c>
      <c r="I1591" s="1584"/>
      <c r="J1591" s="1584"/>
      <c r="K1591" s="1584"/>
      <c r="L1591" s="1584"/>
      <c r="M1591" s="1584"/>
      <c r="N1591" s="1582"/>
      <c r="O1591" s="1582"/>
      <c r="P1591" s="1582"/>
      <c r="Q1591" s="1582"/>
      <c r="R1591" s="1582"/>
      <c r="S1591" s="1582"/>
      <c r="T1591" s="1583"/>
      <c r="U1591" s="1583"/>
      <c r="V1591" s="1583"/>
      <c r="W1591" s="1583"/>
    </row>
    <row r="1592" spans="1:23" ht="7.35" customHeight="1">
      <c r="B1592" s="1580" t="s">
        <v>1994</v>
      </c>
      <c r="C1592" s="1580"/>
      <c r="D1592" s="1580"/>
      <c r="E1592" s="1585"/>
      <c r="F1592" s="1585"/>
      <c r="G1592" s="1585"/>
      <c r="H1592" s="1585"/>
      <c r="I1592" s="1585"/>
      <c r="J1592" s="1585"/>
      <c r="K1592" s="1585"/>
      <c r="L1592" s="1585"/>
      <c r="M1592" s="1585"/>
      <c r="N1592" s="1585"/>
      <c r="O1592" s="1585"/>
      <c r="P1592" s="1585"/>
      <c r="Q1592" s="1585"/>
      <c r="R1592" s="1582"/>
      <c r="S1592" s="1582"/>
      <c r="T1592" s="1582" t="s">
        <v>7018</v>
      </c>
      <c r="U1592" s="1582"/>
    </row>
    <row r="1593" spans="1:23" ht="6.75" customHeight="1">
      <c r="E1593" s="1585"/>
      <c r="F1593" s="1585"/>
      <c r="G1593" s="1585"/>
      <c r="H1593" s="1585"/>
      <c r="I1593" s="1585"/>
      <c r="J1593" s="1585"/>
      <c r="K1593" s="1585"/>
      <c r="L1593" s="1585"/>
      <c r="M1593" s="1585"/>
      <c r="N1593" s="1585"/>
      <c r="O1593" s="1585"/>
      <c r="P1593" s="1585"/>
      <c r="Q1593" s="1585"/>
      <c r="R1593" s="1582"/>
      <c r="S1593" s="1582"/>
      <c r="T1593" s="1582"/>
      <c r="U1593" s="1582"/>
    </row>
    <row r="1594" spans="1:23" ht="10.9" customHeight="1">
      <c r="A1594" s="1576"/>
      <c r="B1594" s="1576"/>
      <c r="C1594" s="1576"/>
      <c r="D1594" s="1576"/>
      <c r="E1594" s="1576"/>
      <c r="F1594" s="1576"/>
      <c r="G1594" s="1576"/>
      <c r="H1594" s="1576"/>
      <c r="I1594" s="1576"/>
      <c r="J1594" s="1577" t="s">
        <v>1314</v>
      </c>
      <c r="K1594" s="1577"/>
      <c r="L1594" s="1577" t="s">
        <v>1315</v>
      </c>
      <c r="M1594" s="1577"/>
      <c r="N1594" s="1577"/>
      <c r="O1594" s="1577" t="s">
        <v>1316</v>
      </c>
      <c r="P1594" s="1577"/>
      <c r="Q1594" s="1577"/>
      <c r="R1594" s="1577"/>
      <c r="S1594" s="1577"/>
      <c r="T1594" s="1577"/>
      <c r="U1594" s="1577"/>
    </row>
    <row r="1595" spans="1:23" ht="14.1" customHeight="1">
      <c r="A1595" s="1578" t="s">
        <v>1317</v>
      </c>
      <c r="B1595" s="1578"/>
      <c r="C1595" s="1578" t="s">
        <v>1318</v>
      </c>
      <c r="D1595" s="1578"/>
      <c r="E1595" s="1578"/>
      <c r="F1595" s="1578" t="s">
        <v>1319</v>
      </c>
      <c r="G1595" s="1578"/>
      <c r="H1595" s="1578"/>
      <c r="I1595" s="1578"/>
      <c r="J1595" s="1413" t="s">
        <v>1320</v>
      </c>
      <c r="K1595" s="1413" t="s">
        <v>1321</v>
      </c>
      <c r="L1595" s="1413" t="s">
        <v>1320</v>
      </c>
      <c r="M1595" s="1579" t="s">
        <v>1321</v>
      </c>
      <c r="N1595" s="1579"/>
      <c r="O1595" s="1579" t="s">
        <v>1320</v>
      </c>
      <c r="P1595" s="1579"/>
      <c r="Q1595" s="1579" t="s">
        <v>1321</v>
      </c>
      <c r="R1595" s="1579"/>
      <c r="S1595" s="1579"/>
      <c r="T1595" s="1579"/>
      <c r="U1595" s="1579"/>
    </row>
    <row r="1596" spans="1:23" ht="22.5" customHeight="1">
      <c r="A1596" s="1574" t="s">
        <v>1322</v>
      </c>
      <c r="B1596" s="1574"/>
      <c r="C1596" s="1574" t="s">
        <v>3323</v>
      </c>
      <c r="D1596" s="1574"/>
      <c r="E1596" s="1574"/>
      <c r="F1596" s="1574" t="s">
        <v>2404</v>
      </c>
      <c r="G1596" s="1574"/>
      <c r="H1596" s="1574"/>
      <c r="I1596" s="1574"/>
      <c r="J1596" s="1412">
        <v>0</v>
      </c>
      <c r="K1596" s="1412">
        <v>0</v>
      </c>
      <c r="L1596" s="1412">
        <v>78500</v>
      </c>
      <c r="M1596" s="1575">
        <v>78500</v>
      </c>
      <c r="N1596" s="1575"/>
      <c r="O1596" s="1575">
        <v>0</v>
      </c>
      <c r="P1596" s="1575"/>
      <c r="Q1596" s="1575">
        <v>0</v>
      </c>
      <c r="R1596" s="1575"/>
      <c r="S1596" s="1575"/>
      <c r="T1596" s="1575"/>
      <c r="U1596" s="1575"/>
    </row>
    <row r="1597" spans="1:23" ht="19.149999999999999" customHeight="1">
      <c r="A1597" s="1574" t="s">
        <v>1322</v>
      </c>
      <c r="B1597" s="1574"/>
      <c r="C1597" s="1574" t="s">
        <v>6352</v>
      </c>
      <c r="D1597" s="1574"/>
      <c r="E1597" s="1574"/>
      <c r="F1597" s="1574" t="s">
        <v>2404</v>
      </c>
      <c r="G1597" s="1574"/>
      <c r="H1597" s="1574"/>
      <c r="I1597" s="1574"/>
      <c r="J1597" s="1412">
        <v>0</v>
      </c>
      <c r="K1597" s="1412">
        <v>0</v>
      </c>
      <c r="L1597" s="1412">
        <v>40000</v>
      </c>
      <c r="M1597" s="1575">
        <v>40000</v>
      </c>
      <c r="N1597" s="1575"/>
      <c r="O1597" s="1575">
        <v>0</v>
      </c>
      <c r="P1597" s="1575"/>
      <c r="Q1597" s="1575">
        <v>0</v>
      </c>
      <c r="R1597" s="1575"/>
      <c r="S1597" s="1575"/>
      <c r="T1597" s="1575"/>
      <c r="U1597" s="1575"/>
    </row>
    <row r="1598" spans="1:23" ht="19.149999999999999" customHeight="1">
      <c r="A1598" s="1574" t="s">
        <v>1322</v>
      </c>
      <c r="B1598" s="1574"/>
      <c r="C1598" s="1574" t="s">
        <v>2635</v>
      </c>
      <c r="D1598" s="1574"/>
      <c r="E1598" s="1574"/>
      <c r="F1598" s="1574" t="s">
        <v>2387</v>
      </c>
      <c r="G1598" s="1574"/>
      <c r="H1598" s="1574"/>
      <c r="I1598" s="1574"/>
      <c r="J1598" s="1412">
        <v>0</v>
      </c>
      <c r="K1598" s="1412">
        <v>0</v>
      </c>
      <c r="L1598" s="1412">
        <v>192586.2</v>
      </c>
      <c r="M1598" s="1575">
        <v>192586.2</v>
      </c>
      <c r="N1598" s="1575"/>
      <c r="O1598" s="1575">
        <v>0</v>
      </c>
      <c r="P1598" s="1575"/>
      <c r="Q1598" s="1575">
        <v>0</v>
      </c>
      <c r="R1598" s="1575"/>
      <c r="S1598" s="1575"/>
      <c r="T1598" s="1575"/>
      <c r="U1598" s="1575"/>
    </row>
    <row r="1599" spans="1:23" ht="19.149999999999999" customHeight="1">
      <c r="A1599" s="1574" t="s">
        <v>1322</v>
      </c>
      <c r="B1599" s="1574"/>
      <c r="C1599" s="1574" t="s">
        <v>6835</v>
      </c>
      <c r="D1599" s="1574"/>
      <c r="E1599" s="1574"/>
      <c r="F1599" s="1574" t="s">
        <v>2390</v>
      </c>
      <c r="G1599" s="1574"/>
      <c r="H1599" s="1574"/>
      <c r="I1599" s="1574"/>
      <c r="J1599" s="1412">
        <v>0</v>
      </c>
      <c r="K1599" s="1412">
        <v>0</v>
      </c>
      <c r="L1599" s="1412">
        <v>324828.71999999997</v>
      </c>
      <c r="M1599" s="1575">
        <v>324828.71999999997</v>
      </c>
      <c r="N1599" s="1575"/>
      <c r="O1599" s="1575">
        <v>0</v>
      </c>
      <c r="P1599" s="1575"/>
      <c r="Q1599" s="1575">
        <v>0</v>
      </c>
      <c r="R1599" s="1575"/>
      <c r="S1599" s="1575"/>
      <c r="T1599" s="1575"/>
      <c r="U1599" s="1575"/>
    </row>
    <row r="1600" spans="1:23" ht="19.149999999999999" customHeight="1">
      <c r="A1600" s="1574" t="s">
        <v>1322</v>
      </c>
      <c r="B1600" s="1574"/>
      <c r="C1600" s="1574" t="s">
        <v>6353</v>
      </c>
      <c r="D1600" s="1574"/>
      <c r="E1600" s="1574"/>
      <c r="F1600" s="1574" t="s">
        <v>2392</v>
      </c>
      <c r="G1600" s="1574"/>
      <c r="H1600" s="1574"/>
      <c r="I1600" s="1574"/>
      <c r="J1600" s="1412">
        <v>0</v>
      </c>
      <c r="K1600" s="1412">
        <v>0</v>
      </c>
      <c r="L1600" s="1412">
        <v>16048.86</v>
      </c>
      <c r="M1600" s="1575">
        <v>16048.86</v>
      </c>
      <c r="N1600" s="1575"/>
      <c r="O1600" s="1575">
        <v>0</v>
      </c>
      <c r="P1600" s="1575"/>
      <c r="Q1600" s="1575">
        <v>0</v>
      </c>
      <c r="R1600" s="1575"/>
      <c r="S1600" s="1575"/>
      <c r="T1600" s="1575"/>
      <c r="U1600" s="1575"/>
    </row>
    <row r="1601" spans="1:21" ht="19.149999999999999" customHeight="1">
      <c r="A1601" s="1574" t="s">
        <v>1322</v>
      </c>
      <c r="B1601" s="1574"/>
      <c r="C1601" s="1574" t="s">
        <v>2636</v>
      </c>
      <c r="D1601" s="1574"/>
      <c r="E1601" s="1574"/>
      <c r="F1601" s="1574" t="s">
        <v>2396</v>
      </c>
      <c r="G1601" s="1574"/>
      <c r="H1601" s="1574"/>
      <c r="I1601" s="1574"/>
      <c r="J1601" s="1412">
        <v>0</v>
      </c>
      <c r="K1601" s="1412">
        <v>0</v>
      </c>
      <c r="L1601" s="1412">
        <v>49109.52</v>
      </c>
      <c r="M1601" s="1575">
        <v>49109.52</v>
      </c>
      <c r="N1601" s="1575"/>
      <c r="O1601" s="1575">
        <v>0</v>
      </c>
      <c r="P1601" s="1575"/>
      <c r="Q1601" s="1575">
        <v>0</v>
      </c>
      <c r="R1601" s="1575"/>
      <c r="S1601" s="1575"/>
      <c r="T1601" s="1575"/>
      <c r="U1601" s="1575"/>
    </row>
    <row r="1602" spans="1:21" ht="19.149999999999999" customHeight="1">
      <c r="A1602" s="1574" t="s">
        <v>1322</v>
      </c>
      <c r="B1602" s="1574"/>
      <c r="C1602" s="1574" t="s">
        <v>2637</v>
      </c>
      <c r="D1602" s="1574"/>
      <c r="E1602" s="1574"/>
      <c r="F1602" s="1574" t="s">
        <v>2398</v>
      </c>
      <c r="G1602" s="1574"/>
      <c r="H1602" s="1574"/>
      <c r="I1602" s="1574"/>
      <c r="J1602" s="1412">
        <v>0</v>
      </c>
      <c r="K1602" s="1412">
        <v>0</v>
      </c>
      <c r="L1602" s="1412">
        <v>691.44</v>
      </c>
      <c r="M1602" s="1575">
        <v>691.44</v>
      </c>
      <c r="N1602" s="1575"/>
      <c r="O1602" s="1575">
        <v>0</v>
      </c>
      <c r="P1602" s="1575"/>
      <c r="Q1602" s="1575">
        <v>0</v>
      </c>
      <c r="R1602" s="1575"/>
      <c r="S1602" s="1575"/>
      <c r="T1602" s="1575"/>
      <c r="U1602" s="1575"/>
    </row>
    <row r="1603" spans="1:21" ht="19.149999999999999" customHeight="1">
      <c r="A1603" s="1574" t="s">
        <v>1322</v>
      </c>
      <c r="B1603" s="1574"/>
      <c r="C1603" s="1574" t="s">
        <v>2639</v>
      </c>
      <c r="D1603" s="1574"/>
      <c r="E1603" s="1574"/>
      <c r="F1603" s="1574" t="s">
        <v>2400</v>
      </c>
      <c r="G1603" s="1574"/>
      <c r="H1603" s="1574"/>
      <c r="I1603" s="1574"/>
      <c r="J1603" s="1412">
        <v>0</v>
      </c>
      <c r="K1603" s="1412">
        <v>0</v>
      </c>
      <c r="L1603" s="1412">
        <v>0</v>
      </c>
      <c r="M1603" s="1575">
        <v>0</v>
      </c>
      <c r="N1603" s="1575"/>
      <c r="O1603" s="1575">
        <v>0</v>
      </c>
      <c r="P1603" s="1575"/>
      <c r="Q1603" s="1575">
        <v>0</v>
      </c>
      <c r="R1603" s="1575"/>
      <c r="S1603" s="1575"/>
      <c r="T1603" s="1575"/>
      <c r="U1603" s="1575"/>
    </row>
    <row r="1604" spans="1:21" ht="19.149999999999999" customHeight="1">
      <c r="A1604" s="1574" t="s">
        <v>1322</v>
      </c>
      <c r="B1604" s="1574"/>
      <c r="C1604" s="1574" t="s">
        <v>2640</v>
      </c>
      <c r="D1604" s="1574"/>
      <c r="E1604" s="1574"/>
      <c r="F1604" s="1574" t="s">
        <v>2402</v>
      </c>
      <c r="G1604" s="1574"/>
      <c r="H1604" s="1574"/>
      <c r="I1604" s="1574"/>
      <c r="J1604" s="1412">
        <v>0</v>
      </c>
      <c r="K1604" s="1412">
        <v>0</v>
      </c>
      <c r="L1604" s="1412">
        <v>13443</v>
      </c>
      <c r="M1604" s="1575">
        <v>13443</v>
      </c>
      <c r="N1604" s="1575"/>
      <c r="O1604" s="1575">
        <v>0</v>
      </c>
      <c r="P1604" s="1575"/>
      <c r="Q1604" s="1575">
        <v>0</v>
      </c>
      <c r="R1604" s="1575"/>
      <c r="S1604" s="1575"/>
      <c r="T1604" s="1575"/>
      <c r="U1604" s="1575"/>
    </row>
    <row r="1605" spans="1:21" ht="19.149999999999999" customHeight="1">
      <c r="A1605" s="1574" t="s">
        <v>1322</v>
      </c>
      <c r="B1605" s="1574"/>
      <c r="C1605" s="1574" t="s">
        <v>2862</v>
      </c>
      <c r="D1605" s="1574"/>
      <c r="E1605" s="1574"/>
      <c r="F1605" s="1574" t="s">
        <v>2416</v>
      </c>
      <c r="G1605" s="1574"/>
      <c r="H1605" s="1574"/>
      <c r="I1605" s="1574"/>
      <c r="J1605" s="1412">
        <v>0</v>
      </c>
      <c r="K1605" s="1412">
        <v>0</v>
      </c>
      <c r="L1605" s="1412">
        <v>14945.12</v>
      </c>
      <c r="M1605" s="1575">
        <v>14945.12</v>
      </c>
      <c r="N1605" s="1575"/>
      <c r="O1605" s="1575">
        <v>0</v>
      </c>
      <c r="P1605" s="1575"/>
      <c r="Q1605" s="1575">
        <v>0</v>
      </c>
      <c r="R1605" s="1575"/>
      <c r="S1605" s="1575"/>
      <c r="T1605" s="1575"/>
      <c r="U1605" s="1575"/>
    </row>
    <row r="1606" spans="1:21" ht="19.149999999999999" customHeight="1">
      <c r="A1606" s="1574" t="s">
        <v>1322</v>
      </c>
      <c r="B1606" s="1574"/>
      <c r="C1606" s="1574" t="s">
        <v>2641</v>
      </c>
      <c r="D1606" s="1574"/>
      <c r="E1606" s="1574"/>
      <c r="F1606" s="1574" t="s">
        <v>2418</v>
      </c>
      <c r="G1606" s="1574"/>
      <c r="H1606" s="1574"/>
      <c r="I1606" s="1574"/>
      <c r="J1606" s="1412">
        <v>0</v>
      </c>
      <c r="K1606" s="1412">
        <v>0</v>
      </c>
      <c r="L1606" s="1412">
        <v>683469.02</v>
      </c>
      <c r="M1606" s="1575">
        <v>683469.02</v>
      </c>
      <c r="N1606" s="1575"/>
      <c r="O1606" s="1575">
        <v>0</v>
      </c>
      <c r="P1606" s="1575"/>
      <c r="Q1606" s="1575">
        <v>0</v>
      </c>
      <c r="R1606" s="1575"/>
      <c r="S1606" s="1575"/>
      <c r="T1606" s="1575"/>
      <c r="U1606" s="1575"/>
    </row>
    <row r="1607" spans="1:21" ht="19.149999999999999" customHeight="1">
      <c r="A1607" s="1574" t="s">
        <v>1322</v>
      </c>
      <c r="B1607" s="1574"/>
      <c r="C1607" s="1574" t="s">
        <v>2642</v>
      </c>
      <c r="D1607" s="1574"/>
      <c r="E1607" s="1574"/>
      <c r="F1607" s="1574" t="s">
        <v>2421</v>
      </c>
      <c r="G1607" s="1574"/>
      <c r="H1607" s="1574"/>
      <c r="I1607" s="1574"/>
      <c r="J1607" s="1412">
        <v>0</v>
      </c>
      <c r="K1607" s="1412">
        <v>0</v>
      </c>
      <c r="L1607" s="1412">
        <v>11675.65</v>
      </c>
      <c r="M1607" s="1575">
        <v>11675.65</v>
      </c>
      <c r="N1607" s="1575"/>
      <c r="O1607" s="1575">
        <v>0</v>
      </c>
      <c r="P1607" s="1575"/>
      <c r="Q1607" s="1575">
        <v>0</v>
      </c>
      <c r="R1607" s="1575"/>
      <c r="S1607" s="1575"/>
      <c r="T1607" s="1575"/>
      <c r="U1607" s="1575"/>
    </row>
    <row r="1608" spans="1:21" ht="19.149999999999999" customHeight="1">
      <c r="A1608" s="1574" t="s">
        <v>1322</v>
      </c>
      <c r="B1608" s="1574"/>
      <c r="C1608" s="1574" t="s">
        <v>2643</v>
      </c>
      <c r="D1608" s="1574"/>
      <c r="E1608" s="1574"/>
      <c r="F1608" s="1574" t="s">
        <v>2423</v>
      </c>
      <c r="G1608" s="1574"/>
      <c r="H1608" s="1574"/>
      <c r="I1608" s="1574"/>
      <c r="J1608" s="1412">
        <v>0</v>
      </c>
      <c r="K1608" s="1412">
        <v>0</v>
      </c>
      <c r="L1608" s="1412">
        <v>612855.88</v>
      </c>
      <c r="M1608" s="1575">
        <v>612855.88</v>
      </c>
      <c r="N1608" s="1575"/>
      <c r="O1608" s="1575">
        <v>0</v>
      </c>
      <c r="P1608" s="1575"/>
      <c r="Q1608" s="1575">
        <v>0</v>
      </c>
      <c r="R1608" s="1575"/>
      <c r="S1608" s="1575"/>
      <c r="T1608" s="1575"/>
      <c r="U1608" s="1575"/>
    </row>
    <row r="1609" spans="1:21" ht="19.149999999999999" customHeight="1">
      <c r="A1609" s="1574" t="s">
        <v>1322</v>
      </c>
      <c r="B1609" s="1574"/>
      <c r="C1609" s="1574" t="s">
        <v>5816</v>
      </c>
      <c r="D1609" s="1574"/>
      <c r="E1609" s="1574"/>
      <c r="F1609" s="1574" t="s">
        <v>2416</v>
      </c>
      <c r="G1609" s="1574"/>
      <c r="H1609" s="1574"/>
      <c r="I1609" s="1574"/>
      <c r="J1609" s="1412">
        <v>0</v>
      </c>
      <c r="K1609" s="1412">
        <v>0</v>
      </c>
      <c r="L1609" s="1412">
        <v>14800</v>
      </c>
      <c r="M1609" s="1575">
        <v>14800</v>
      </c>
      <c r="N1609" s="1575"/>
      <c r="O1609" s="1575">
        <v>0</v>
      </c>
      <c r="P1609" s="1575"/>
      <c r="Q1609" s="1575">
        <v>0</v>
      </c>
      <c r="R1609" s="1575"/>
      <c r="S1609" s="1575"/>
      <c r="T1609" s="1575"/>
      <c r="U1609" s="1575"/>
    </row>
    <row r="1610" spans="1:21" ht="19.149999999999999" customHeight="1">
      <c r="A1610" s="1574" t="s">
        <v>1322</v>
      </c>
      <c r="B1610" s="1574"/>
      <c r="C1610" s="1574" t="s">
        <v>2644</v>
      </c>
      <c r="D1610" s="1574"/>
      <c r="E1610" s="1574"/>
      <c r="F1610" s="1574" t="s">
        <v>2418</v>
      </c>
      <c r="G1610" s="1574"/>
      <c r="H1610" s="1574"/>
      <c r="I1610" s="1574"/>
      <c r="J1610" s="1412">
        <v>0</v>
      </c>
      <c r="K1610" s="1412">
        <v>0</v>
      </c>
      <c r="L1610" s="1412">
        <v>250888.94</v>
      </c>
      <c r="M1610" s="1575">
        <v>250888.94</v>
      </c>
      <c r="N1610" s="1575"/>
      <c r="O1610" s="1575">
        <v>0</v>
      </c>
      <c r="P1610" s="1575"/>
      <c r="Q1610" s="1575">
        <v>0</v>
      </c>
      <c r="R1610" s="1575"/>
      <c r="S1610" s="1575"/>
      <c r="T1610" s="1575"/>
      <c r="U1610" s="1575"/>
    </row>
    <row r="1611" spans="1:21" ht="19.149999999999999" customHeight="1">
      <c r="A1611" s="1574" t="s">
        <v>1322</v>
      </c>
      <c r="B1611" s="1574"/>
      <c r="C1611" s="1574" t="s">
        <v>5817</v>
      </c>
      <c r="D1611" s="1574"/>
      <c r="E1611" s="1574"/>
      <c r="F1611" s="1574" t="s">
        <v>2423</v>
      </c>
      <c r="G1611" s="1574"/>
      <c r="H1611" s="1574"/>
      <c r="I1611" s="1574"/>
      <c r="J1611" s="1412">
        <v>0</v>
      </c>
      <c r="K1611" s="1412">
        <v>0</v>
      </c>
      <c r="L1611" s="1412">
        <v>316981.88</v>
      </c>
      <c r="M1611" s="1575">
        <v>316981.88</v>
      </c>
      <c r="N1611" s="1575"/>
      <c r="O1611" s="1575">
        <v>0</v>
      </c>
      <c r="P1611" s="1575"/>
      <c r="Q1611" s="1575">
        <v>0</v>
      </c>
      <c r="R1611" s="1575"/>
      <c r="S1611" s="1575"/>
      <c r="T1611" s="1575"/>
      <c r="U1611" s="1575"/>
    </row>
    <row r="1612" spans="1:21" ht="19.149999999999999" customHeight="1">
      <c r="A1612" s="1574" t="s">
        <v>1322</v>
      </c>
      <c r="B1612" s="1574"/>
      <c r="C1612" s="1574" t="s">
        <v>5818</v>
      </c>
      <c r="D1612" s="1574"/>
      <c r="E1612" s="1574"/>
      <c r="F1612" s="1574" t="s">
        <v>2416</v>
      </c>
      <c r="G1612" s="1574"/>
      <c r="H1612" s="1574"/>
      <c r="I1612" s="1574"/>
      <c r="J1612" s="1412">
        <v>0</v>
      </c>
      <c r="K1612" s="1412">
        <v>0</v>
      </c>
      <c r="L1612" s="1412">
        <v>4400</v>
      </c>
      <c r="M1612" s="1575">
        <v>4400</v>
      </c>
      <c r="N1612" s="1575"/>
      <c r="O1612" s="1575">
        <v>0</v>
      </c>
      <c r="P1612" s="1575"/>
      <c r="Q1612" s="1575">
        <v>0</v>
      </c>
      <c r="R1612" s="1575"/>
      <c r="S1612" s="1575"/>
      <c r="T1612" s="1575"/>
      <c r="U1612" s="1575"/>
    </row>
    <row r="1613" spans="1:21" ht="19.149999999999999" customHeight="1">
      <c r="A1613" s="1574" t="s">
        <v>1322</v>
      </c>
      <c r="B1613" s="1574"/>
      <c r="C1613" s="1574" t="s">
        <v>2645</v>
      </c>
      <c r="D1613" s="1574"/>
      <c r="E1613" s="1574"/>
      <c r="F1613" s="1574" t="s">
        <v>2418</v>
      </c>
      <c r="G1613" s="1574"/>
      <c r="H1613" s="1574"/>
      <c r="I1613" s="1574"/>
      <c r="J1613" s="1412">
        <v>0</v>
      </c>
      <c r="K1613" s="1412">
        <v>0</v>
      </c>
      <c r="L1613" s="1412">
        <v>29577.66</v>
      </c>
      <c r="M1613" s="1575">
        <v>29577.66</v>
      </c>
      <c r="N1613" s="1575"/>
      <c r="O1613" s="1575">
        <v>0</v>
      </c>
      <c r="P1613" s="1575"/>
      <c r="Q1613" s="1575">
        <v>0</v>
      </c>
      <c r="R1613" s="1575"/>
      <c r="S1613" s="1575"/>
      <c r="T1613" s="1575"/>
      <c r="U1613" s="1575"/>
    </row>
    <row r="1614" spans="1:21" ht="19.149999999999999" customHeight="1">
      <c r="A1614" s="1574" t="s">
        <v>1322</v>
      </c>
      <c r="B1614" s="1574"/>
      <c r="C1614" s="1574" t="s">
        <v>2646</v>
      </c>
      <c r="D1614" s="1574"/>
      <c r="E1614" s="1574"/>
      <c r="F1614" s="1574" t="s">
        <v>2423</v>
      </c>
      <c r="G1614" s="1574"/>
      <c r="H1614" s="1574"/>
      <c r="I1614" s="1574"/>
      <c r="J1614" s="1412">
        <v>0</v>
      </c>
      <c r="K1614" s="1412">
        <v>0</v>
      </c>
      <c r="L1614" s="1412">
        <v>82310.929999999993</v>
      </c>
      <c r="M1614" s="1575">
        <v>82310.929999999993</v>
      </c>
      <c r="N1614" s="1575"/>
      <c r="O1614" s="1575">
        <v>0</v>
      </c>
      <c r="P1614" s="1575"/>
      <c r="Q1614" s="1575">
        <v>0</v>
      </c>
      <c r="R1614" s="1575"/>
      <c r="S1614" s="1575"/>
      <c r="T1614" s="1575"/>
      <c r="U1614" s="1575"/>
    </row>
    <row r="1615" spans="1:21" ht="19.149999999999999" customHeight="1">
      <c r="A1615" s="1574" t="s">
        <v>1322</v>
      </c>
      <c r="B1615" s="1574"/>
      <c r="C1615" s="1574" t="s">
        <v>5819</v>
      </c>
      <c r="D1615" s="1574"/>
      <c r="E1615" s="1574"/>
      <c r="F1615" s="1574" t="s">
        <v>2416</v>
      </c>
      <c r="G1615" s="1574"/>
      <c r="H1615" s="1574"/>
      <c r="I1615" s="1574"/>
      <c r="J1615" s="1412">
        <v>0</v>
      </c>
      <c r="K1615" s="1412">
        <v>0</v>
      </c>
      <c r="L1615" s="1412">
        <v>3200</v>
      </c>
      <c r="M1615" s="1575">
        <v>3200</v>
      </c>
      <c r="N1615" s="1575"/>
      <c r="O1615" s="1575">
        <v>0</v>
      </c>
      <c r="P1615" s="1575"/>
      <c r="Q1615" s="1575">
        <v>0</v>
      </c>
      <c r="R1615" s="1575"/>
      <c r="S1615" s="1575"/>
      <c r="T1615" s="1575"/>
      <c r="U1615" s="1575"/>
    </row>
    <row r="1616" spans="1:21" ht="19.149999999999999" customHeight="1">
      <c r="A1616" s="1574" t="s">
        <v>1322</v>
      </c>
      <c r="B1616" s="1574"/>
      <c r="C1616" s="1574" t="s">
        <v>2647</v>
      </c>
      <c r="D1616" s="1574"/>
      <c r="E1616" s="1574"/>
      <c r="F1616" s="1574" t="s">
        <v>2418</v>
      </c>
      <c r="G1616" s="1574"/>
      <c r="H1616" s="1574"/>
      <c r="I1616" s="1574"/>
      <c r="J1616" s="1412">
        <v>0</v>
      </c>
      <c r="K1616" s="1412">
        <v>0</v>
      </c>
      <c r="L1616" s="1412">
        <v>16006.02</v>
      </c>
      <c r="M1616" s="1575">
        <v>16006.02</v>
      </c>
      <c r="N1616" s="1575"/>
      <c r="O1616" s="1575">
        <v>0</v>
      </c>
      <c r="P1616" s="1575"/>
      <c r="Q1616" s="1575">
        <v>0</v>
      </c>
      <c r="R1616" s="1575"/>
      <c r="S1616" s="1575"/>
      <c r="T1616" s="1575"/>
      <c r="U1616" s="1575"/>
    </row>
    <row r="1617" spans="1:23" ht="19.149999999999999" customHeight="1">
      <c r="A1617" s="1574" t="s">
        <v>1322</v>
      </c>
      <c r="B1617" s="1574"/>
      <c r="C1617" s="1574" t="s">
        <v>5820</v>
      </c>
      <c r="D1617" s="1574"/>
      <c r="E1617" s="1574"/>
      <c r="F1617" s="1574" t="s">
        <v>2423</v>
      </c>
      <c r="G1617" s="1574"/>
      <c r="H1617" s="1574"/>
      <c r="I1617" s="1574"/>
      <c r="J1617" s="1412">
        <v>0</v>
      </c>
      <c r="K1617" s="1412">
        <v>0</v>
      </c>
      <c r="L1617" s="1412">
        <v>60252.33</v>
      </c>
      <c r="M1617" s="1575">
        <v>60252.33</v>
      </c>
      <c r="N1617" s="1575"/>
      <c r="O1617" s="1575">
        <v>0</v>
      </c>
      <c r="P1617" s="1575"/>
      <c r="Q1617" s="1575">
        <v>0</v>
      </c>
      <c r="R1617" s="1575"/>
      <c r="S1617" s="1575"/>
      <c r="T1617" s="1575"/>
      <c r="U1617" s="1575"/>
    </row>
    <row r="1618" spans="1:23" ht="19.149999999999999" customHeight="1">
      <c r="A1618" s="1574" t="s">
        <v>1322</v>
      </c>
      <c r="B1618" s="1574"/>
      <c r="C1618" s="1574" t="s">
        <v>5821</v>
      </c>
      <c r="D1618" s="1574"/>
      <c r="E1618" s="1574"/>
      <c r="F1618" s="1574" t="s">
        <v>2416</v>
      </c>
      <c r="G1618" s="1574"/>
      <c r="H1618" s="1574"/>
      <c r="I1618" s="1574"/>
      <c r="J1618" s="1412">
        <v>0</v>
      </c>
      <c r="K1618" s="1412">
        <v>0</v>
      </c>
      <c r="L1618" s="1412">
        <v>7600</v>
      </c>
      <c r="M1618" s="1575">
        <v>7600</v>
      </c>
      <c r="N1618" s="1575"/>
      <c r="O1618" s="1575">
        <v>0</v>
      </c>
      <c r="P1618" s="1575"/>
      <c r="Q1618" s="1575">
        <v>0</v>
      </c>
      <c r="R1618" s="1575"/>
      <c r="S1618" s="1575"/>
      <c r="T1618" s="1575"/>
      <c r="U1618" s="1575"/>
    </row>
    <row r="1619" spans="1:23" ht="6.95" customHeight="1"/>
    <row r="1620" spans="1:23" ht="14.1" customHeight="1">
      <c r="S1620" s="1573" t="s">
        <v>6558</v>
      </c>
      <c r="T1620" s="1573"/>
      <c r="U1620" s="1573"/>
      <c r="V1620" s="1573"/>
      <c r="W1620" s="1573"/>
    </row>
    <row r="1621" spans="1:23" ht="7.15" customHeight="1">
      <c r="C1621" s="1586" t="s">
        <v>2987</v>
      </c>
      <c r="D1621" s="1586"/>
      <c r="E1621" s="1586"/>
      <c r="F1621" s="1586"/>
      <c r="G1621" s="1586"/>
      <c r="H1621" s="1586"/>
      <c r="I1621" s="1586"/>
      <c r="J1621" s="1586"/>
      <c r="K1621" s="1586"/>
      <c r="L1621" s="1586"/>
      <c r="M1621" s="1586"/>
      <c r="N1621" s="1586"/>
      <c r="O1621" s="1586"/>
      <c r="P1621" s="1586"/>
      <c r="Q1621" s="1586"/>
      <c r="R1621" s="1586"/>
      <c r="S1621" s="1586"/>
      <c r="T1621" s="1586"/>
    </row>
    <row r="1622" spans="1:23" ht="9.6" customHeight="1">
      <c r="A1622" s="1587"/>
      <c r="B1622" s="1587"/>
      <c r="C1622" s="1587"/>
      <c r="D1622" s="1587"/>
      <c r="E1622" s="1587"/>
      <c r="F1622" s="1587"/>
      <c r="G1622" s="1586"/>
      <c r="H1622" s="1586"/>
      <c r="I1622" s="1586"/>
      <c r="J1622" s="1586"/>
      <c r="K1622" s="1586"/>
      <c r="L1622" s="1586"/>
      <c r="M1622" s="1586"/>
      <c r="N1622" s="1586"/>
      <c r="O1622" s="1586"/>
      <c r="P1622" s="1586"/>
      <c r="Q1622" s="1586"/>
      <c r="R1622" s="1586"/>
      <c r="S1622" s="1586"/>
      <c r="T1622" s="1586"/>
    </row>
    <row r="1623" spans="1:23" ht="13.35" customHeight="1">
      <c r="A1623" s="1587"/>
      <c r="B1623" s="1587"/>
      <c r="C1623" s="1587"/>
      <c r="D1623" s="1587"/>
      <c r="E1623" s="1587"/>
      <c r="F1623" s="1587"/>
      <c r="G1623" s="1588" t="s">
        <v>79</v>
      </c>
      <c r="H1623" s="1588"/>
      <c r="I1623" s="1588"/>
      <c r="J1623" s="1588"/>
      <c r="K1623" s="1588"/>
      <c r="L1623" s="1588"/>
      <c r="M1623" s="1588"/>
      <c r="N1623" s="1588"/>
      <c r="O1623" s="1588"/>
      <c r="P1623" s="1588"/>
      <c r="Q1623" s="1588"/>
      <c r="R1623" s="1588"/>
    </row>
    <row r="1624" spans="1:23" ht="5.25" customHeight="1">
      <c r="A1624" s="1587"/>
      <c r="B1624" s="1587"/>
      <c r="C1624" s="1587"/>
      <c r="D1624" s="1587"/>
      <c r="E1624" s="1587"/>
      <c r="F1624" s="1587"/>
      <c r="G1624" s="1581" t="s">
        <v>7015</v>
      </c>
      <c r="H1624" s="1581"/>
      <c r="I1624" s="1581"/>
      <c r="J1624" s="1581"/>
      <c r="K1624" s="1581"/>
      <c r="L1624" s="1581"/>
      <c r="M1624" s="1581"/>
      <c r="N1624" s="1581"/>
      <c r="O1624" s="1581"/>
      <c r="P1624" s="1581"/>
      <c r="Q1624" s="1581"/>
    </row>
    <row r="1625" spans="1:23" ht="8.1" customHeight="1">
      <c r="B1625" s="1580" t="s">
        <v>1916</v>
      </c>
      <c r="C1625" s="1580"/>
      <c r="D1625" s="1580"/>
      <c r="E1625" s="1580"/>
      <c r="F1625" s="1580"/>
      <c r="G1625" s="1580"/>
      <c r="H1625" s="1581"/>
      <c r="I1625" s="1581"/>
      <c r="J1625" s="1581"/>
      <c r="K1625" s="1581"/>
      <c r="L1625" s="1581"/>
      <c r="M1625" s="1581"/>
      <c r="N1625" s="1582" t="s">
        <v>5619</v>
      </c>
      <c r="O1625" s="1582"/>
      <c r="P1625" s="1582"/>
      <c r="Q1625" s="1582"/>
      <c r="R1625" s="1582"/>
      <c r="S1625" s="1582"/>
      <c r="T1625" s="1583" t="s">
        <v>7016</v>
      </c>
      <c r="U1625" s="1583"/>
      <c r="V1625" s="1583"/>
      <c r="W1625" s="1583"/>
    </row>
    <row r="1626" spans="1:23" ht="6" customHeight="1">
      <c r="B1626" s="1580"/>
      <c r="C1626" s="1580"/>
      <c r="D1626" s="1580"/>
      <c r="E1626" s="1580"/>
      <c r="F1626" s="1580"/>
      <c r="G1626" s="1580"/>
      <c r="H1626" s="1584" t="s">
        <v>7017</v>
      </c>
      <c r="I1626" s="1584"/>
      <c r="J1626" s="1584"/>
      <c r="K1626" s="1584"/>
      <c r="L1626" s="1584"/>
      <c r="M1626" s="1584"/>
      <c r="N1626" s="1582"/>
      <c r="O1626" s="1582"/>
      <c r="P1626" s="1582"/>
      <c r="Q1626" s="1582"/>
      <c r="R1626" s="1582"/>
      <c r="S1626" s="1582"/>
      <c r="T1626" s="1583"/>
      <c r="U1626" s="1583"/>
      <c r="V1626" s="1583"/>
      <c r="W1626" s="1583"/>
    </row>
    <row r="1627" spans="1:23" ht="7.35" customHeight="1">
      <c r="B1627" s="1580" t="s">
        <v>1994</v>
      </c>
      <c r="C1627" s="1580"/>
      <c r="D1627" s="1580"/>
      <c r="E1627" s="1585"/>
      <c r="F1627" s="1585"/>
      <c r="G1627" s="1585"/>
      <c r="H1627" s="1585"/>
      <c r="I1627" s="1585"/>
      <c r="J1627" s="1585"/>
      <c r="K1627" s="1585"/>
      <c r="L1627" s="1585"/>
      <c r="M1627" s="1585"/>
      <c r="N1627" s="1585"/>
      <c r="O1627" s="1585"/>
      <c r="P1627" s="1585"/>
      <c r="Q1627" s="1585"/>
      <c r="R1627" s="1582"/>
      <c r="S1627" s="1582"/>
      <c r="T1627" s="1582" t="s">
        <v>7018</v>
      </c>
      <c r="U1627" s="1582"/>
    </row>
    <row r="1628" spans="1:23" ht="6.75" customHeight="1">
      <c r="E1628" s="1585"/>
      <c r="F1628" s="1585"/>
      <c r="G1628" s="1585"/>
      <c r="H1628" s="1585"/>
      <c r="I1628" s="1585"/>
      <c r="J1628" s="1585"/>
      <c r="K1628" s="1585"/>
      <c r="L1628" s="1585"/>
      <c r="M1628" s="1585"/>
      <c r="N1628" s="1585"/>
      <c r="O1628" s="1585"/>
      <c r="P1628" s="1585"/>
      <c r="Q1628" s="1585"/>
      <c r="R1628" s="1582"/>
      <c r="S1628" s="1582"/>
      <c r="T1628" s="1582"/>
      <c r="U1628" s="1582"/>
    </row>
    <row r="1629" spans="1:23" ht="10.9" customHeight="1">
      <c r="A1629" s="1576"/>
      <c r="B1629" s="1576"/>
      <c r="C1629" s="1576"/>
      <c r="D1629" s="1576"/>
      <c r="E1629" s="1576"/>
      <c r="F1629" s="1576"/>
      <c r="G1629" s="1576"/>
      <c r="H1629" s="1576"/>
      <c r="I1629" s="1576"/>
      <c r="J1629" s="1577" t="s">
        <v>1314</v>
      </c>
      <c r="K1629" s="1577"/>
      <c r="L1629" s="1577" t="s">
        <v>1315</v>
      </c>
      <c r="M1629" s="1577"/>
      <c r="N1629" s="1577"/>
      <c r="O1629" s="1577" t="s">
        <v>1316</v>
      </c>
      <c r="P1629" s="1577"/>
      <c r="Q1629" s="1577"/>
      <c r="R1629" s="1577"/>
      <c r="S1629" s="1577"/>
      <c r="T1629" s="1577"/>
      <c r="U1629" s="1577"/>
    </row>
    <row r="1630" spans="1:23" ht="14.1" customHeight="1">
      <c r="A1630" s="1578" t="s">
        <v>1317</v>
      </c>
      <c r="B1630" s="1578"/>
      <c r="C1630" s="1578" t="s">
        <v>1318</v>
      </c>
      <c r="D1630" s="1578"/>
      <c r="E1630" s="1578"/>
      <c r="F1630" s="1578" t="s">
        <v>1319</v>
      </c>
      <c r="G1630" s="1578"/>
      <c r="H1630" s="1578"/>
      <c r="I1630" s="1578"/>
      <c r="J1630" s="1413" t="s">
        <v>1320</v>
      </c>
      <c r="K1630" s="1413" t="s">
        <v>1321</v>
      </c>
      <c r="L1630" s="1413" t="s">
        <v>1320</v>
      </c>
      <c r="M1630" s="1579" t="s">
        <v>1321</v>
      </c>
      <c r="N1630" s="1579"/>
      <c r="O1630" s="1579" t="s">
        <v>1320</v>
      </c>
      <c r="P1630" s="1579"/>
      <c r="Q1630" s="1579" t="s">
        <v>1321</v>
      </c>
      <c r="R1630" s="1579"/>
      <c r="S1630" s="1579"/>
      <c r="T1630" s="1579"/>
      <c r="U1630" s="1579"/>
    </row>
    <row r="1631" spans="1:23" ht="22.5" customHeight="1">
      <c r="A1631" s="1574" t="s">
        <v>1322</v>
      </c>
      <c r="B1631" s="1574"/>
      <c r="C1631" s="1574" t="s">
        <v>2648</v>
      </c>
      <c r="D1631" s="1574"/>
      <c r="E1631" s="1574"/>
      <c r="F1631" s="1574" t="s">
        <v>2418</v>
      </c>
      <c r="G1631" s="1574"/>
      <c r="H1631" s="1574"/>
      <c r="I1631" s="1574"/>
      <c r="J1631" s="1412">
        <v>0</v>
      </c>
      <c r="K1631" s="1412">
        <v>0</v>
      </c>
      <c r="L1631" s="1412">
        <v>40913.08</v>
      </c>
      <c r="M1631" s="1575">
        <v>40913.08</v>
      </c>
      <c r="N1631" s="1575"/>
      <c r="O1631" s="1575">
        <v>0</v>
      </c>
      <c r="P1631" s="1575"/>
      <c r="Q1631" s="1575">
        <v>0</v>
      </c>
      <c r="R1631" s="1575"/>
      <c r="S1631" s="1575"/>
      <c r="T1631" s="1575"/>
      <c r="U1631" s="1575"/>
    </row>
    <row r="1632" spans="1:23" ht="19.149999999999999" customHeight="1">
      <c r="A1632" s="1574" t="s">
        <v>1322</v>
      </c>
      <c r="B1632" s="1574"/>
      <c r="C1632" s="1574" t="s">
        <v>2649</v>
      </c>
      <c r="D1632" s="1574"/>
      <c r="E1632" s="1574"/>
      <c r="F1632" s="1574" t="s">
        <v>2423</v>
      </c>
      <c r="G1632" s="1574"/>
      <c r="H1632" s="1574"/>
      <c r="I1632" s="1574"/>
      <c r="J1632" s="1412">
        <v>0</v>
      </c>
      <c r="K1632" s="1412">
        <v>0</v>
      </c>
      <c r="L1632" s="1412">
        <v>58945.94</v>
      </c>
      <c r="M1632" s="1575">
        <v>58945.94</v>
      </c>
      <c r="N1632" s="1575"/>
      <c r="O1632" s="1575">
        <v>0</v>
      </c>
      <c r="P1632" s="1575"/>
      <c r="Q1632" s="1575">
        <v>0</v>
      </c>
      <c r="R1632" s="1575"/>
      <c r="S1632" s="1575"/>
      <c r="T1632" s="1575"/>
      <c r="U1632" s="1575"/>
    </row>
    <row r="1633" spans="1:21" ht="19.149999999999999" customHeight="1">
      <c r="A1633" s="1574" t="s">
        <v>1322</v>
      </c>
      <c r="B1633" s="1574"/>
      <c r="C1633" s="1574" t="s">
        <v>6672</v>
      </c>
      <c r="D1633" s="1574"/>
      <c r="E1633" s="1574"/>
      <c r="F1633" s="1574" t="s">
        <v>2443</v>
      </c>
      <c r="G1633" s="1574"/>
      <c r="H1633" s="1574"/>
      <c r="I1633" s="1574"/>
      <c r="J1633" s="1412">
        <v>0</v>
      </c>
      <c r="K1633" s="1412">
        <v>0</v>
      </c>
      <c r="L1633" s="1412">
        <v>0</v>
      </c>
      <c r="M1633" s="1575">
        <v>0</v>
      </c>
      <c r="N1633" s="1575"/>
      <c r="O1633" s="1575">
        <v>0</v>
      </c>
      <c r="P1633" s="1575"/>
      <c r="Q1633" s="1575">
        <v>0</v>
      </c>
      <c r="R1633" s="1575"/>
      <c r="S1633" s="1575"/>
      <c r="T1633" s="1575"/>
      <c r="U1633" s="1575"/>
    </row>
    <row r="1634" spans="1:21" ht="19.149999999999999" customHeight="1">
      <c r="A1634" s="1574" t="s">
        <v>1322</v>
      </c>
      <c r="B1634" s="1574"/>
      <c r="C1634" s="1574" t="s">
        <v>6354</v>
      </c>
      <c r="D1634" s="1574"/>
      <c r="E1634" s="1574"/>
      <c r="F1634" s="1574" t="s">
        <v>2421</v>
      </c>
      <c r="G1634" s="1574"/>
      <c r="H1634" s="1574"/>
      <c r="I1634" s="1574"/>
      <c r="J1634" s="1412">
        <v>0</v>
      </c>
      <c r="K1634" s="1412">
        <v>0</v>
      </c>
      <c r="L1634" s="1412">
        <v>9453.2199999999993</v>
      </c>
      <c r="M1634" s="1575">
        <v>9453.2199999999993</v>
      </c>
      <c r="N1634" s="1575"/>
      <c r="O1634" s="1575">
        <v>0</v>
      </c>
      <c r="P1634" s="1575"/>
      <c r="Q1634" s="1575">
        <v>0</v>
      </c>
      <c r="R1634" s="1575"/>
      <c r="S1634" s="1575"/>
      <c r="T1634" s="1575"/>
      <c r="U1634" s="1575"/>
    </row>
    <row r="1635" spans="1:21" ht="19.149999999999999" customHeight="1">
      <c r="A1635" s="1574" t="s">
        <v>1322</v>
      </c>
      <c r="B1635" s="1574"/>
      <c r="C1635" s="1574" t="s">
        <v>6355</v>
      </c>
      <c r="D1635" s="1574"/>
      <c r="E1635" s="1574"/>
      <c r="F1635" s="1574" t="s">
        <v>2423</v>
      </c>
      <c r="G1635" s="1574"/>
      <c r="H1635" s="1574"/>
      <c r="I1635" s="1574"/>
      <c r="J1635" s="1412">
        <v>0</v>
      </c>
      <c r="K1635" s="1412">
        <v>0</v>
      </c>
      <c r="L1635" s="1412">
        <v>0</v>
      </c>
      <c r="M1635" s="1575">
        <v>0</v>
      </c>
      <c r="N1635" s="1575"/>
      <c r="O1635" s="1575">
        <v>0</v>
      </c>
      <c r="P1635" s="1575"/>
      <c r="Q1635" s="1575">
        <v>0</v>
      </c>
      <c r="R1635" s="1575"/>
      <c r="S1635" s="1575"/>
      <c r="T1635" s="1575"/>
      <c r="U1635" s="1575"/>
    </row>
    <row r="1636" spans="1:21" ht="19.149999999999999" customHeight="1">
      <c r="A1636" s="1574" t="s">
        <v>1322</v>
      </c>
      <c r="B1636" s="1574"/>
      <c r="C1636" s="1574" t="s">
        <v>7063</v>
      </c>
      <c r="D1636" s="1574"/>
      <c r="E1636" s="1574"/>
      <c r="F1636" s="1574" t="s">
        <v>2500</v>
      </c>
      <c r="G1636" s="1574"/>
      <c r="H1636" s="1574"/>
      <c r="I1636" s="1574"/>
      <c r="J1636" s="1412">
        <v>0</v>
      </c>
      <c r="K1636" s="1412">
        <v>0</v>
      </c>
      <c r="L1636" s="1412">
        <v>15358.57</v>
      </c>
      <c r="M1636" s="1575">
        <v>15358.57</v>
      </c>
      <c r="N1636" s="1575"/>
      <c r="O1636" s="1575">
        <v>0</v>
      </c>
      <c r="P1636" s="1575"/>
      <c r="Q1636" s="1575">
        <v>0</v>
      </c>
      <c r="R1636" s="1575"/>
      <c r="S1636" s="1575"/>
      <c r="T1636" s="1575"/>
      <c r="U1636" s="1575"/>
    </row>
    <row r="1637" spans="1:21" ht="19.149999999999999" customHeight="1">
      <c r="A1637" s="1574" t="s">
        <v>1322</v>
      </c>
      <c r="B1637" s="1574"/>
      <c r="C1637" s="1574" t="s">
        <v>2650</v>
      </c>
      <c r="D1637" s="1574"/>
      <c r="E1637" s="1574"/>
      <c r="F1637" s="1574" t="s">
        <v>2387</v>
      </c>
      <c r="G1637" s="1574"/>
      <c r="H1637" s="1574"/>
      <c r="I1637" s="1574"/>
      <c r="J1637" s="1412">
        <v>0</v>
      </c>
      <c r="K1637" s="1412">
        <v>0</v>
      </c>
      <c r="L1637" s="1412">
        <v>44262.3</v>
      </c>
      <c r="M1637" s="1575">
        <v>44262.3</v>
      </c>
      <c r="N1637" s="1575"/>
      <c r="O1637" s="1575">
        <v>0</v>
      </c>
      <c r="P1637" s="1575"/>
      <c r="Q1637" s="1575">
        <v>0</v>
      </c>
      <c r="R1637" s="1575"/>
      <c r="S1637" s="1575"/>
      <c r="T1637" s="1575"/>
      <c r="U1637" s="1575"/>
    </row>
    <row r="1638" spans="1:21" ht="19.149999999999999" customHeight="1">
      <c r="A1638" s="1574" t="s">
        <v>1322</v>
      </c>
      <c r="B1638" s="1574"/>
      <c r="C1638" s="1574" t="s">
        <v>6673</v>
      </c>
      <c r="D1638" s="1574"/>
      <c r="E1638" s="1574"/>
      <c r="F1638" s="1574" t="s">
        <v>2390</v>
      </c>
      <c r="G1638" s="1574"/>
      <c r="H1638" s="1574"/>
      <c r="I1638" s="1574"/>
      <c r="J1638" s="1412">
        <v>0</v>
      </c>
      <c r="K1638" s="1412">
        <v>0</v>
      </c>
      <c r="L1638" s="1412">
        <v>74655.740000000005</v>
      </c>
      <c r="M1638" s="1575">
        <v>74655.740000000005</v>
      </c>
      <c r="N1638" s="1575"/>
      <c r="O1638" s="1575">
        <v>0</v>
      </c>
      <c r="P1638" s="1575"/>
      <c r="Q1638" s="1575">
        <v>0</v>
      </c>
      <c r="R1638" s="1575"/>
      <c r="S1638" s="1575"/>
      <c r="T1638" s="1575"/>
      <c r="U1638" s="1575"/>
    </row>
    <row r="1639" spans="1:21" ht="19.149999999999999" customHeight="1">
      <c r="A1639" s="1574" t="s">
        <v>1322</v>
      </c>
      <c r="B1639" s="1574"/>
      <c r="C1639" s="1574" t="s">
        <v>6356</v>
      </c>
      <c r="D1639" s="1574"/>
      <c r="E1639" s="1574"/>
      <c r="F1639" s="1574" t="s">
        <v>2392</v>
      </c>
      <c r="G1639" s="1574"/>
      <c r="H1639" s="1574"/>
      <c r="I1639" s="1574"/>
      <c r="J1639" s="1412">
        <v>0</v>
      </c>
      <c r="K1639" s="1412">
        <v>0</v>
      </c>
      <c r="L1639" s="1412">
        <v>3688.53</v>
      </c>
      <c r="M1639" s="1575">
        <v>3688.53</v>
      </c>
      <c r="N1639" s="1575"/>
      <c r="O1639" s="1575">
        <v>0</v>
      </c>
      <c r="P1639" s="1575"/>
      <c r="Q1639" s="1575">
        <v>0</v>
      </c>
      <c r="R1639" s="1575"/>
      <c r="S1639" s="1575"/>
      <c r="T1639" s="1575"/>
      <c r="U1639" s="1575"/>
    </row>
    <row r="1640" spans="1:21" ht="19.149999999999999" customHeight="1">
      <c r="A1640" s="1574" t="s">
        <v>1322</v>
      </c>
      <c r="B1640" s="1574"/>
      <c r="C1640" s="1574" t="s">
        <v>3286</v>
      </c>
      <c r="D1640" s="1574"/>
      <c r="E1640" s="1574"/>
      <c r="F1640" s="1574" t="s">
        <v>2455</v>
      </c>
      <c r="G1640" s="1574"/>
      <c r="H1640" s="1574"/>
      <c r="I1640" s="1574"/>
      <c r="J1640" s="1412">
        <v>0</v>
      </c>
      <c r="K1640" s="1412">
        <v>0</v>
      </c>
      <c r="L1640" s="1412">
        <v>991.64</v>
      </c>
      <c r="M1640" s="1575">
        <v>991.64</v>
      </c>
      <c r="N1640" s="1575"/>
      <c r="O1640" s="1575">
        <v>0</v>
      </c>
      <c r="P1640" s="1575"/>
      <c r="Q1640" s="1575">
        <v>0</v>
      </c>
      <c r="R1640" s="1575"/>
      <c r="S1640" s="1575"/>
      <c r="T1640" s="1575"/>
      <c r="U1640" s="1575"/>
    </row>
    <row r="1641" spans="1:21" ht="19.149999999999999" customHeight="1">
      <c r="A1641" s="1574" t="s">
        <v>1322</v>
      </c>
      <c r="B1641" s="1574"/>
      <c r="C1641" s="1574" t="s">
        <v>2651</v>
      </c>
      <c r="D1641" s="1574"/>
      <c r="E1641" s="1574"/>
      <c r="F1641" s="1574" t="s">
        <v>2396</v>
      </c>
      <c r="G1641" s="1574"/>
      <c r="H1641" s="1574"/>
      <c r="I1641" s="1574"/>
      <c r="J1641" s="1412">
        <v>0</v>
      </c>
      <c r="K1641" s="1412">
        <v>0</v>
      </c>
      <c r="L1641" s="1412">
        <v>11286.9</v>
      </c>
      <c r="M1641" s="1575">
        <v>11286.9</v>
      </c>
      <c r="N1641" s="1575"/>
      <c r="O1641" s="1575">
        <v>0</v>
      </c>
      <c r="P1641" s="1575"/>
      <c r="Q1641" s="1575">
        <v>0</v>
      </c>
      <c r="R1641" s="1575"/>
      <c r="S1641" s="1575"/>
      <c r="T1641" s="1575"/>
      <c r="U1641" s="1575"/>
    </row>
    <row r="1642" spans="1:21" ht="19.149999999999999" customHeight="1">
      <c r="A1642" s="1574" t="s">
        <v>1322</v>
      </c>
      <c r="B1642" s="1574"/>
      <c r="C1642" s="1574" t="s">
        <v>2652</v>
      </c>
      <c r="D1642" s="1574"/>
      <c r="E1642" s="1574"/>
      <c r="F1642" s="1574" t="s">
        <v>2398</v>
      </c>
      <c r="G1642" s="1574"/>
      <c r="H1642" s="1574"/>
      <c r="I1642" s="1574"/>
      <c r="J1642" s="1412">
        <v>0</v>
      </c>
      <c r="K1642" s="1412">
        <v>0</v>
      </c>
      <c r="L1642" s="1412">
        <v>345.72</v>
      </c>
      <c r="M1642" s="1575">
        <v>345.72</v>
      </c>
      <c r="N1642" s="1575"/>
      <c r="O1642" s="1575">
        <v>0</v>
      </c>
      <c r="P1642" s="1575"/>
      <c r="Q1642" s="1575">
        <v>0</v>
      </c>
      <c r="R1642" s="1575"/>
      <c r="S1642" s="1575"/>
      <c r="T1642" s="1575"/>
      <c r="U1642" s="1575"/>
    </row>
    <row r="1643" spans="1:21" ht="19.149999999999999" customHeight="1">
      <c r="A1643" s="1574" t="s">
        <v>1322</v>
      </c>
      <c r="B1643" s="1574"/>
      <c r="C1643" s="1574" t="s">
        <v>2653</v>
      </c>
      <c r="D1643" s="1574"/>
      <c r="E1643" s="1574"/>
      <c r="F1643" s="1574" t="s">
        <v>2400</v>
      </c>
      <c r="G1643" s="1574"/>
      <c r="H1643" s="1574"/>
      <c r="I1643" s="1574"/>
      <c r="J1643" s="1412">
        <v>0</v>
      </c>
      <c r="K1643" s="1412">
        <v>0</v>
      </c>
      <c r="L1643" s="1412">
        <v>0</v>
      </c>
      <c r="M1643" s="1575">
        <v>0</v>
      </c>
      <c r="N1643" s="1575"/>
      <c r="O1643" s="1575">
        <v>0</v>
      </c>
      <c r="P1643" s="1575"/>
      <c r="Q1643" s="1575">
        <v>0</v>
      </c>
      <c r="R1643" s="1575"/>
      <c r="S1643" s="1575"/>
      <c r="T1643" s="1575"/>
      <c r="U1643" s="1575"/>
    </row>
    <row r="1644" spans="1:21" ht="19.149999999999999" customHeight="1">
      <c r="A1644" s="1574" t="s">
        <v>1322</v>
      </c>
      <c r="B1644" s="1574"/>
      <c r="C1644" s="1574" t="s">
        <v>2654</v>
      </c>
      <c r="D1644" s="1574"/>
      <c r="E1644" s="1574"/>
      <c r="F1644" s="1574" t="s">
        <v>2402</v>
      </c>
      <c r="G1644" s="1574"/>
      <c r="H1644" s="1574"/>
      <c r="I1644" s="1574"/>
      <c r="J1644" s="1412">
        <v>0</v>
      </c>
      <c r="K1644" s="1412">
        <v>0</v>
      </c>
      <c r="L1644" s="1412">
        <v>4919.78</v>
      </c>
      <c r="M1644" s="1575">
        <v>4919.78</v>
      </c>
      <c r="N1644" s="1575"/>
      <c r="O1644" s="1575">
        <v>0</v>
      </c>
      <c r="P1644" s="1575"/>
      <c r="Q1644" s="1575">
        <v>0</v>
      </c>
      <c r="R1644" s="1575"/>
      <c r="S1644" s="1575"/>
      <c r="T1644" s="1575"/>
      <c r="U1644" s="1575"/>
    </row>
    <row r="1645" spans="1:21" ht="19.149999999999999" customHeight="1">
      <c r="A1645" s="1574" t="s">
        <v>1322</v>
      </c>
      <c r="B1645" s="1574"/>
      <c r="C1645" s="1574" t="s">
        <v>2655</v>
      </c>
      <c r="D1645" s="1574"/>
      <c r="E1645" s="1574"/>
      <c r="F1645" s="1574" t="s">
        <v>2443</v>
      </c>
      <c r="G1645" s="1574"/>
      <c r="H1645" s="1574"/>
      <c r="I1645" s="1574"/>
      <c r="J1645" s="1412">
        <v>0</v>
      </c>
      <c r="K1645" s="1412">
        <v>0</v>
      </c>
      <c r="L1645" s="1412">
        <v>273204.92</v>
      </c>
      <c r="M1645" s="1575">
        <v>273204.92</v>
      </c>
      <c r="N1645" s="1575"/>
      <c r="O1645" s="1575">
        <v>0</v>
      </c>
      <c r="P1645" s="1575"/>
      <c r="Q1645" s="1575">
        <v>0</v>
      </c>
      <c r="R1645" s="1575"/>
      <c r="S1645" s="1575"/>
      <c r="T1645" s="1575"/>
      <c r="U1645" s="1575"/>
    </row>
    <row r="1646" spans="1:21" ht="19.149999999999999" customHeight="1">
      <c r="A1646" s="1574" t="s">
        <v>1322</v>
      </c>
      <c r="B1646" s="1574"/>
      <c r="C1646" s="1574" t="s">
        <v>5822</v>
      </c>
      <c r="D1646" s="1574"/>
      <c r="E1646" s="1574"/>
      <c r="F1646" s="1574" t="s">
        <v>2445</v>
      </c>
      <c r="G1646" s="1574"/>
      <c r="H1646" s="1574"/>
      <c r="I1646" s="1574"/>
      <c r="J1646" s="1412">
        <v>0</v>
      </c>
      <c r="K1646" s="1412">
        <v>0</v>
      </c>
      <c r="L1646" s="1412">
        <v>126656.37</v>
      </c>
      <c r="M1646" s="1575">
        <v>126656.37</v>
      </c>
      <c r="N1646" s="1575"/>
      <c r="O1646" s="1575">
        <v>0</v>
      </c>
      <c r="P1646" s="1575"/>
      <c r="Q1646" s="1575">
        <v>0</v>
      </c>
      <c r="R1646" s="1575"/>
      <c r="S1646" s="1575"/>
      <c r="T1646" s="1575"/>
      <c r="U1646" s="1575"/>
    </row>
    <row r="1647" spans="1:21" ht="19.149999999999999" customHeight="1">
      <c r="A1647" s="1574" t="s">
        <v>1322</v>
      </c>
      <c r="B1647" s="1574"/>
      <c r="C1647" s="1574" t="s">
        <v>5977</v>
      </c>
      <c r="D1647" s="1574"/>
      <c r="E1647" s="1574"/>
      <c r="F1647" s="1574" t="s">
        <v>2443</v>
      </c>
      <c r="G1647" s="1574"/>
      <c r="H1647" s="1574"/>
      <c r="I1647" s="1574"/>
      <c r="J1647" s="1412">
        <v>0</v>
      </c>
      <c r="K1647" s="1412">
        <v>0</v>
      </c>
      <c r="L1647" s="1412">
        <v>82586</v>
      </c>
      <c r="M1647" s="1575">
        <v>82586</v>
      </c>
      <c r="N1647" s="1575"/>
      <c r="O1647" s="1575">
        <v>0</v>
      </c>
      <c r="P1647" s="1575"/>
      <c r="Q1647" s="1575">
        <v>0</v>
      </c>
      <c r="R1647" s="1575"/>
      <c r="S1647" s="1575"/>
      <c r="T1647" s="1575"/>
      <c r="U1647" s="1575"/>
    </row>
    <row r="1648" spans="1:21" ht="19.149999999999999" customHeight="1">
      <c r="A1648" s="1574" t="s">
        <v>1322</v>
      </c>
      <c r="B1648" s="1574"/>
      <c r="C1648" s="1574" t="s">
        <v>6270</v>
      </c>
      <c r="D1648" s="1574"/>
      <c r="E1648" s="1574"/>
      <c r="F1648" s="1574" t="s">
        <v>2445</v>
      </c>
      <c r="G1648" s="1574"/>
      <c r="H1648" s="1574"/>
      <c r="I1648" s="1574"/>
      <c r="J1648" s="1412">
        <v>0</v>
      </c>
      <c r="K1648" s="1412">
        <v>0</v>
      </c>
      <c r="L1648" s="1412">
        <v>0</v>
      </c>
      <c r="M1648" s="1575">
        <v>0</v>
      </c>
      <c r="N1648" s="1575"/>
      <c r="O1648" s="1575">
        <v>0</v>
      </c>
      <c r="P1648" s="1575"/>
      <c r="Q1648" s="1575">
        <v>0</v>
      </c>
      <c r="R1648" s="1575"/>
      <c r="S1648" s="1575"/>
      <c r="T1648" s="1575"/>
      <c r="U1648" s="1575"/>
    </row>
    <row r="1649" spans="1:23" ht="19.149999999999999" customHeight="1">
      <c r="A1649" s="1574" t="s">
        <v>1322</v>
      </c>
      <c r="B1649" s="1574"/>
      <c r="C1649" s="1574" t="s">
        <v>5978</v>
      </c>
      <c r="D1649" s="1574"/>
      <c r="E1649" s="1574"/>
      <c r="F1649" s="1574" t="s">
        <v>2443</v>
      </c>
      <c r="G1649" s="1574"/>
      <c r="H1649" s="1574"/>
      <c r="I1649" s="1574"/>
      <c r="J1649" s="1412">
        <v>0</v>
      </c>
      <c r="K1649" s="1412">
        <v>0</v>
      </c>
      <c r="L1649" s="1412">
        <v>750365.41</v>
      </c>
      <c r="M1649" s="1575">
        <v>750365.41</v>
      </c>
      <c r="N1649" s="1575"/>
      <c r="O1649" s="1575">
        <v>0</v>
      </c>
      <c r="P1649" s="1575"/>
      <c r="Q1649" s="1575">
        <v>0</v>
      </c>
      <c r="R1649" s="1575"/>
      <c r="S1649" s="1575"/>
      <c r="T1649" s="1575"/>
      <c r="U1649" s="1575"/>
    </row>
    <row r="1650" spans="1:23" ht="19.149999999999999" customHeight="1">
      <c r="A1650" s="1574" t="s">
        <v>1322</v>
      </c>
      <c r="B1650" s="1574"/>
      <c r="C1650" s="1574" t="s">
        <v>5823</v>
      </c>
      <c r="D1650" s="1574"/>
      <c r="E1650" s="1574"/>
      <c r="F1650" s="1574" t="s">
        <v>2445</v>
      </c>
      <c r="G1650" s="1574"/>
      <c r="H1650" s="1574"/>
      <c r="I1650" s="1574"/>
      <c r="J1650" s="1412">
        <v>0</v>
      </c>
      <c r="K1650" s="1412">
        <v>0</v>
      </c>
      <c r="L1650" s="1412">
        <v>132762</v>
      </c>
      <c r="M1650" s="1575">
        <v>132762</v>
      </c>
      <c r="N1650" s="1575"/>
      <c r="O1650" s="1575">
        <v>0</v>
      </c>
      <c r="P1650" s="1575"/>
      <c r="Q1650" s="1575">
        <v>0</v>
      </c>
      <c r="R1650" s="1575"/>
      <c r="S1650" s="1575"/>
      <c r="T1650" s="1575"/>
      <c r="U1650" s="1575"/>
    </row>
    <row r="1651" spans="1:23" ht="19.149999999999999" customHeight="1">
      <c r="A1651" s="1574" t="s">
        <v>1322</v>
      </c>
      <c r="B1651" s="1574"/>
      <c r="C1651" s="1574" t="s">
        <v>5979</v>
      </c>
      <c r="D1651" s="1574"/>
      <c r="E1651" s="1574"/>
      <c r="F1651" s="1574" t="s">
        <v>2443</v>
      </c>
      <c r="G1651" s="1574"/>
      <c r="H1651" s="1574"/>
      <c r="I1651" s="1574"/>
      <c r="J1651" s="1412">
        <v>0</v>
      </c>
      <c r="K1651" s="1412">
        <v>0</v>
      </c>
      <c r="L1651" s="1412">
        <v>5946</v>
      </c>
      <c r="M1651" s="1575">
        <v>5946</v>
      </c>
      <c r="N1651" s="1575"/>
      <c r="O1651" s="1575">
        <v>0</v>
      </c>
      <c r="P1651" s="1575"/>
      <c r="Q1651" s="1575">
        <v>0</v>
      </c>
      <c r="R1651" s="1575"/>
      <c r="S1651" s="1575"/>
      <c r="T1651" s="1575"/>
      <c r="U1651" s="1575"/>
    </row>
    <row r="1652" spans="1:23" ht="19.149999999999999" customHeight="1">
      <c r="A1652" s="1574" t="s">
        <v>1322</v>
      </c>
      <c r="B1652" s="1574"/>
      <c r="C1652" s="1574" t="s">
        <v>5927</v>
      </c>
      <c r="D1652" s="1574"/>
      <c r="E1652" s="1574"/>
      <c r="F1652" s="1574" t="s">
        <v>2445</v>
      </c>
      <c r="G1652" s="1574"/>
      <c r="H1652" s="1574"/>
      <c r="I1652" s="1574"/>
      <c r="J1652" s="1412">
        <v>0</v>
      </c>
      <c r="K1652" s="1412">
        <v>0</v>
      </c>
      <c r="L1652" s="1412">
        <v>278427.08</v>
      </c>
      <c r="M1652" s="1575">
        <v>278427.08</v>
      </c>
      <c r="N1652" s="1575"/>
      <c r="O1652" s="1575">
        <v>0</v>
      </c>
      <c r="P1652" s="1575"/>
      <c r="Q1652" s="1575">
        <v>0</v>
      </c>
      <c r="R1652" s="1575"/>
      <c r="S1652" s="1575"/>
      <c r="T1652" s="1575"/>
      <c r="U1652" s="1575"/>
    </row>
    <row r="1653" spans="1:23" ht="19.149999999999999" customHeight="1">
      <c r="A1653" s="1574" t="s">
        <v>1322</v>
      </c>
      <c r="B1653" s="1574"/>
      <c r="C1653" s="1574" t="s">
        <v>2656</v>
      </c>
      <c r="D1653" s="1574"/>
      <c r="E1653" s="1574"/>
      <c r="F1653" s="1574" t="s">
        <v>2387</v>
      </c>
      <c r="G1653" s="1574"/>
      <c r="H1653" s="1574"/>
      <c r="I1653" s="1574"/>
      <c r="J1653" s="1412">
        <v>0</v>
      </c>
      <c r="K1653" s="1412">
        <v>0</v>
      </c>
      <c r="L1653" s="1412">
        <v>348709.8</v>
      </c>
      <c r="M1653" s="1575">
        <v>348709.8</v>
      </c>
      <c r="N1653" s="1575"/>
      <c r="O1653" s="1575">
        <v>0</v>
      </c>
      <c r="P1653" s="1575"/>
      <c r="Q1653" s="1575">
        <v>0</v>
      </c>
      <c r="R1653" s="1575"/>
      <c r="S1653" s="1575"/>
      <c r="T1653" s="1575"/>
      <c r="U1653" s="1575"/>
    </row>
    <row r="1654" spans="1:23" ht="6.95" customHeight="1"/>
    <row r="1655" spans="1:23" ht="14.1" customHeight="1">
      <c r="S1655" s="1573" t="s">
        <v>6561</v>
      </c>
      <c r="T1655" s="1573"/>
      <c r="U1655" s="1573"/>
      <c r="V1655" s="1573"/>
      <c r="W1655" s="1573"/>
    </row>
    <row r="1656" spans="1:23" ht="7.15" customHeight="1">
      <c r="C1656" s="1586" t="s">
        <v>2987</v>
      </c>
      <c r="D1656" s="1586"/>
      <c r="E1656" s="1586"/>
      <c r="F1656" s="1586"/>
      <c r="G1656" s="1586"/>
      <c r="H1656" s="1586"/>
      <c r="I1656" s="1586"/>
      <c r="J1656" s="1586"/>
      <c r="K1656" s="1586"/>
      <c r="L1656" s="1586"/>
      <c r="M1656" s="1586"/>
      <c r="N1656" s="1586"/>
      <c r="O1656" s="1586"/>
      <c r="P1656" s="1586"/>
      <c r="Q1656" s="1586"/>
      <c r="R1656" s="1586"/>
      <c r="S1656" s="1586"/>
      <c r="T1656" s="1586"/>
    </row>
    <row r="1657" spans="1:23" ht="9.6" customHeight="1">
      <c r="A1657" s="1587"/>
      <c r="B1657" s="1587"/>
      <c r="C1657" s="1587"/>
      <c r="D1657" s="1587"/>
      <c r="E1657" s="1587"/>
      <c r="F1657" s="1587"/>
      <c r="G1657" s="1586"/>
      <c r="H1657" s="1586"/>
      <c r="I1657" s="1586"/>
      <c r="J1657" s="1586"/>
      <c r="K1657" s="1586"/>
      <c r="L1657" s="1586"/>
      <c r="M1657" s="1586"/>
      <c r="N1657" s="1586"/>
      <c r="O1657" s="1586"/>
      <c r="P1657" s="1586"/>
      <c r="Q1657" s="1586"/>
      <c r="R1657" s="1586"/>
      <c r="S1657" s="1586"/>
      <c r="T1657" s="1586"/>
    </row>
    <row r="1658" spans="1:23" ht="13.35" customHeight="1">
      <c r="A1658" s="1587"/>
      <c r="B1658" s="1587"/>
      <c r="C1658" s="1587"/>
      <c r="D1658" s="1587"/>
      <c r="E1658" s="1587"/>
      <c r="F1658" s="1587"/>
      <c r="G1658" s="1588" t="s">
        <v>79</v>
      </c>
      <c r="H1658" s="1588"/>
      <c r="I1658" s="1588"/>
      <c r="J1658" s="1588"/>
      <c r="K1658" s="1588"/>
      <c r="L1658" s="1588"/>
      <c r="M1658" s="1588"/>
      <c r="N1658" s="1588"/>
      <c r="O1658" s="1588"/>
      <c r="P1658" s="1588"/>
      <c r="Q1658" s="1588"/>
      <c r="R1658" s="1588"/>
    </row>
    <row r="1659" spans="1:23" ht="5.25" customHeight="1">
      <c r="A1659" s="1587"/>
      <c r="B1659" s="1587"/>
      <c r="C1659" s="1587"/>
      <c r="D1659" s="1587"/>
      <c r="E1659" s="1587"/>
      <c r="F1659" s="1587"/>
      <c r="G1659" s="1581" t="s">
        <v>7015</v>
      </c>
      <c r="H1659" s="1581"/>
      <c r="I1659" s="1581"/>
      <c r="J1659" s="1581"/>
      <c r="K1659" s="1581"/>
      <c r="L1659" s="1581"/>
      <c r="M1659" s="1581"/>
      <c r="N1659" s="1581"/>
      <c r="O1659" s="1581"/>
      <c r="P1659" s="1581"/>
      <c r="Q1659" s="1581"/>
    </row>
    <row r="1660" spans="1:23" ht="8.1" customHeight="1">
      <c r="B1660" s="1580" t="s">
        <v>1916</v>
      </c>
      <c r="C1660" s="1580"/>
      <c r="D1660" s="1580"/>
      <c r="E1660" s="1580"/>
      <c r="F1660" s="1580"/>
      <c r="G1660" s="1580"/>
      <c r="H1660" s="1581"/>
      <c r="I1660" s="1581"/>
      <c r="J1660" s="1581"/>
      <c r="K1660" s="1581"/>
      <c r="L1660" s="1581"/>
      <c r="M1660" s="1581"/>
      <c r="N1660" s="1582" t="s">
        <v>5619</v>
      </c>
      <c r="O1660" s="1582"/>
      <c r="P1660" s="1582"/>
      <c r="Q1660" s="1582"/>
      <c r="R1660" s="1582"/>
      <c r="S1660" s="1582"/>
      <c r="T1660" s="1583" t="s">
        <v>7016</v>
      </c>
      <c r="U1660" s="1583"/>
      <c r="V1660" s="1583"/>
      <c r="W1660" s="1583"/>
    </row>
    <row r="1661" spans="1:23" ht="6" customHeight="1">
      <c r="B1661" s="1580"/>
      <c r="C1661" s="1580"/>
      <c r="D1661" s="1580"/>
      <c r="E1661" s="1580"/>
      <c r="F1661" s="1580"/>
      <c r="G1661" s="1580"/>
      <c r="H1661" s="1584" t="s">
        <v>7017</v>
      </c>
      <c r="I1661" s="1584"/>
      <c r="J1661" s="1584"/>
      <c r="K1661" s="1584"/>
      <c r="L1661" s="1584"/>
      <c r="M1661" s="1584"/>
      <c r="N1661" s="1582"/>
      <c r="O1661" s="1582"/>
      <c r="P1661" s="1582"/>
      <c r="Q1661" s="1582"/>
      <c r="R1661" s="1582"/>
      <c r="S1661" s="1582"/>
      <c r="T1661" s="1583"/>
      <c r="U1661" s="1583"/>
      <c r="V1661" s="1583"/>
      <c r="W1661" s="1583"/>
    </row>
    <row r="1662" spans="1:23" ht="7.35" customHeight="1">
      <c r="B1662" s="1580" t="s">
        <v>1994</v>
      </c>
      <c r="C1662" s="1580"/>
      <c r="D1662" s="1580"/>
      <c r="E1662" s="1585"/>
      <c r="F1662" s="1585"/>
      <c r="G1662" s="1585"/>
      <c r="H1662" s="1585"/>
      <c r="I1662" s="1585"/>
      <c r="J1662" s="1585"/>
      <c r="K1662" s="1585"/>
      <c r="L1662" s="1585"/>
      <c r="M1662" s="1585"/>
      <c r="N1662" s="1585"/>
      <c r="O1662" s="1585"/>
      <c r="P1662" s="1585"/>
      <c r="Q1662" s="1585"/>
      <c r="R1662" s="1582"/>
      <c r="S1662" s="1582"/>
      <c r="T1662" s="1582" t="s">
        <v>7018</v>
      </c>
      <c r="U1662" s="1582"/>
    </row>
    <row r="1663" spans="1:23" ht="6.75" customHeight="1">
      <c r="E1663" s="1585"/>
      <c r="F1663" s="1585"/>
      <c r="G1663" s="1585"/>
      <c r="H1663" s="1585"/>
      <c r="I1663" s="1585"/>
      <c r="J1663" s="1585"/>
      <c r="K1663" s="1585"/>
      <c r="L1663" s="1585"/>
      <c r="M1663" s="1585"/>
      <c r="N1663" s="1585"/>
      <c r="O1663" s="1585"/>
      <c r="P1663" s="1585"/>
      <c r="Q1663" s="1585"/>
      <c r="R1663" s="1582"/>
      <c r="S1663" s="1582"/>
      <c r="T1663" s="1582"/>
      <c r="U1663" s="1582"/>
    </row>
    <row r="1664" spans="1:23" ht="10.9" customHeight="1">
      <c r="A1664" s="1576"/>
      <c r="B1664" s="1576"/>
      <c r="C1664" s="1576"/>
      <c r="D1664" s="1576"/>
      <c r="E1664" s="1576"/>
      <c r="F1664" s="1576"/>
      <c r="G1664" s="1576"/>
      <c r="H1664" s="1576"/>
      <c r="I1664" s="1576"/>
      <c r="J1664" s="1577" t="s">
        <v>1314</v>
      </c>
      <c r="K1664" s="1577"/>
      <c r="L1664" s="1577" t="s">
        <v>1315</v>
      </c>
      <c r="M1664" s="1577"/>
      <c r="N1664" s="1577"/>
      <c r="O1664" s="1577" t="s">
        <v>1316</v>
      </c>
      <c r="P1664" s="1577"/>
      <c r="Q1664" s="1577"/>
      <c r="R1664" s="1577"/>
      <c r="S1664" s="1577"/>
      <c r="T1664" s="1577"/>
      <c r="U1664" s="1577"/>
    </row>
    <row r="1665" spans="1:21" ht="14.1" customHeight="1">
      <c r="A1665" s="1578" t="s">
        <v>1317</v>
      </c>
      <c r="B1665" s="1578"/>
      <c r="C1665" s="1578" t="s">
        <v>1318</v>
      </c>
      <c r="D1665" s="1578"/>
      <c r="E1665" s="1578"/>
      <c r="F1665" s="1578" t="s">
        <v>1319</v>
      </c>
      <c r="G1665" s="1578"/>
      <c r="H1665" s="1578"/>
      <c r="I1665" s="1578"/>
      <c r="J1665" s="1413" t="s">
        <v>1320</v>
      </c>
      <c r="K1665" s="1413" t="s">
        <v>1321</v>
      </c>
      <c r="L1665" s="1413" t="s">
        <v>1320</v>
      </c>
      <c r="M1665" s="1579" t="s">
        <v>1321</v>
      </c>
      <c r="N1665" s="1579"/>
      <c r="O1665" s="1579" t="s">
        <v>1320</v>
      </c>
      <c r="P1665" s="1579"/>
      <c r="Q1665" s="1579" t="s">
        <v>1321</v>
      </c>
      <c r="R1665" s="1579"/>
      <c r="S1665" s="1579"/>
      <c r="T1665" s="1579"/>
      <c r="U1665" s="1579"/>
    </row>
    <row r="1666" spans="1:21" ht="22.5" customHeight="1">
      <c r="A1666" s="1574" t="s">
        <v>1322</v>
      </c>
      <c r="B1666" s="1574"/>
      <c r="C1666" s="1574" t="s">
        <v>7064</v>
      </c>
      <c r="D1666" s="1574"/>
      <c r="E1666" s="1574"/>
      <c r="F1666" s="1574" t="s">
        <v>2390</v>
      </c>
      <c r="G1666" s="1574"/>
      <c r="H1666" s="1574"/>
      <c r="I1666" s="1574"/>
      <c r="J1666" s="1412">
        <v>0</v>
      </c>
      <c r="K1666" s="1412">
        <v>0</v>
      </c>
      <c r="L1666" s="1412">
        <v>593152.66</v>
      </c>
      <c r="M1666" s="1575">
        <v>593152.66</v>
      </c>
      <c r="N1666" s="1575"/>
      <c r="O1666" s="1575">
        <v>0</v>
      </c>
      <c r="P1666" s="1575"/>
      <c r="Q1666" s="1575">
        <v>0</v>
      </c>
      <c r="R1666" s="1575"/>
      <c r="S1666" s="1575"/>
      <c r="T1666" s="1575"/>
      <c r="U1666" s="1575"/>
    </row>
    <row r="1667" spans="1:21" ht="19.149999999999999" customHeight="1">
      <c r="A1667" s="1574" t="s">
        <v>1322</v>
      </c>
      <c r="B1667" s="1574"/>
      <c r="C1667" s="1574" t="s">
        <v>6357</v>
      </c>
      <c r="D1667" s="1574"/>
      <c r="E1667" s="1574"/>
      <c r="F1667" s="1574" t="s">
        <v>2392</v>
      </c>
      <c r="G1667" s="1574"/>
      <c r="H1667" s="1574"/>
      <c r="I1667" s="1574"/>
      <c r="J1667" s="1412">
        <v>0</v>
      </c>
      <c r="K1667" s="1412">
        <v>0</v>
      </c>
      <c r="L1667" s="1412">
        <v>29059.17</v>
      </c>
      <c r="M1667" s="1575">
        <v>29059.17</v>
      </c>
      <c r="N1667" s="1575"/>
      <c r="O1667" s="1575">
        <v>0</v>
      </c>
      <c r="P1667" s="1575"/>
      <c r="Q1667" s="1575">
        <v>0</v>
      </c>
      <c r="R1667" s="1575"/>
      <c r="S1667" s="1575"/>
      <c r="T1667" s="1575"/>
      <c r="U1667" s="1575"/>
    </row>
    <row r="1668" spans="1:21" ht="19.149999999999999" customHeight="1">
      <c r="A1668" s="1574" t="s">
        <v>1322</v>
      </c>
      <c r="B1668" s="1574"/>
      <c r="C1668" s="1574" t="s">
        <v>2657</v>
      </c>
      <c r="D1668" s="1574"/>
      <c r="E1668" s="1574"/>
      <c r="F1668" s="1574" t="s">
        <v>2396</v>
      </c>
      <c r="G1668" s="1574"/>
      <c r="H1668" s="1574"/>
      <c r="I1668" s="1574"/>
      <c r="J1668" s="1412">
        <v>0</v>
      </c>
      <c r="K1668" s="1412">
        <v>0</v>
      </c>
      <c r="L1668" s="1412">
        <v>88921.04</v>
      </c>
      <c r="M1668" s="1575">
        <v>88921.04</v>
      </c>
      <c r="N1668" s="1575"/>
      <c r="O1668" s="1575">
        <v>0</v>
      </c>
      <c r="P1668" s="1575"/>
      <c r="Q1668" s="1575">
        <v>0</v>
      </c>
      <c r="R1668" s="1575"/>
      <c r="S1668" s="1575"/>
      <c r="T1668" s="1575"/>
      <c r="U1668" s="1575"/>
    </row>
    <row r="1669" spans="1:21" ht="19.149999999999999" customHeight="1">
      <c r="A1669" s="1574" t="s">
        <v>1322</v>
      </c>
      <c r="B1669" s="1574"/>
      <c r="C1669" s="1574" t="s">
        <v>2658</v>
      </c>
      <c r="D1669" s="1574"/>
      <c r="E1669" s="1574"/>
      <c r="F1669" s="1574" t="s">
        <v>2398</v>
      </c>
      <c r="G1669" s="1574"/>
      <c r="H1669" s="1574"/>
      <c r="I1669" s="1574"/>
      <c r="J1669" s="1412">
        <v>0</v>
      </c>
      <c r="K1669" s="1412">
        <v>0</v>
      </c>
      <c r="L1669" s="1412">
        <v>2592.89</v>
      </c>
      <c r="M1669" s="1575">
        <v>2592.89</v>
      </c>
      <c r="N1669" s="1575"/>
      <c r="O1669" s="1575">
        <v>0</v>
      </c>
      <c r="P1669" s="1575"/>
      <c r="Q1669" s="1575">
        <v>0</v>
      </c>
      <c r="R1669" s="1575"/>
      <c r="S1669" s="1575"/>
      <c r="T1669" s="1575"/>
      <c r="U1669" s="1575"/>
    </row>
    <row r="1670" spans="1:21" ht="19.149999999999999" customHeight="1">
      <c r="A1670" s="1574" t="s">
        <v>1322</v>
      </c>
      <c r="B1670" s="1574"/>
      <c r="C1670" s="1574" t="s">
        <v>2659</v>
      </c>
      <c r="D1670" s="1574"/>
      <c r="E1670" s="1574"/>
      <c r="F1670" s="1574" t="s">
        <v>2400</v>
      </c>
      <c r="G1670" s="1574"/>
      <c r="H1670" s="1574"/>
      <c r="I1670" s="1574"/>
      <c r="J1670" s="1412">
        <v>0</v>
      </c>
      <c r="K1670" s="1412">
        <v>0</v>
      </c>
      <c r="L1670" s="1412">
        <v>0</v>
      </c>
      <c r="M1670" s="1575">
        <v>0</v>
      </c>
      <c r="N1670" s="1575"/>
      <c r="O1670" s="1575">
        <v>0</v>
      </c>
      <c r="P1670" s="1575"/>
      <c r="Q1670" s="1575">
        <v>0</v>
      </c>
      <c r="R1670" s="1575"/>
      <c r="S1670" s="1575"/>
      <c r="T1670" s="1575"/>
      <c r="U1670" s="1575"/>
    </row>
    <row r="1671" spans="1:21" ht="19.149999999999999" customHeight="1">
      <c r="A1671" s="1574" t="s">
        <v>1322</v>
      </c>
      <c r="B1671" s="1574"/>
      <c r="C1671" s="1574" t="s">
        <v>2660</v>
      </c>
      <c r="D1671" s="1574"/>
      <c r="E1671" s="1574"/>
      <c r="F1671" s="1574" t="s">
        <v>2402</v>
      </c>
      <c r="G1671" s="1574"/>
      <c r="H1671" s="1574"/>
      <c r="I1671" s="1574"/>
      <c r="J1671" s="1412">
        <v>0</v>
      </c>
      <c r="K1671" s="1412">
        <v>0</v>
      </c>
      <c r="L1671" s="1412">
        <v>21508.799999999999</v>
      </c>
      <c r="M1671" s="1575">
        <v>21508.799999999999</v>
      </c>
      <c r="N1671" s="1575"/>
      <c r="O1671" s="1575">
        <v>0</v>
      </c>
      <c r="P1671" s="1575"/>
      <c r="Q1671" s="1575">
        <v>0</v>
      </c>
      <c r="R1671" s="1575"/>
      <c r="S1671" s="1575"/>
      <c r="T1671" s="1575"/>
      <c r="U1671" s="1575"/>
    </row>
    <row r="1672" spans="1:21" ht="19.149999999999999" customHeight="1">
      <c r="A1672" s="1574" t="s">
        <v>1322</v>
      </c>
      <c r="B1672" s="1574"/>
      <c r="C1672" s="1574" t="s">
        <v>3324</v>
      </c>
      <c r="D1672" s="1574"/>
      <c r="E1672" s="1574"/>
      <c r="F1672" s="1574" t="s">
        <v>2462</v>
      </c>
      <c r="G1672" s="1574"/>
      <c r="H1672" s="1574"/>
      <c r="I1672" s="1574"/>
      <c r="J1672" s="1412">
        <v>0</v>
      </c>
      <c r="K1672" s="1412">
        <v>0</v>
      </c>
      <c r="L1672" s="1412">
        <v>5926.07</v>
      </c>
      <c r="M1672" s="1575">
        <v>5926.07</v>
      </c>
      <c r="N1672" s="1575"/>
      <c r="O1672" s="1575">
        <v>0</v>
      </c>
      <c r="P1672" s="1575"/>
      <c r="Q1672" s="1575">
        <v>0</v>
      </c>
      <c r="R1672" s="1575"/>
      <c r="S1672" s="1575"/>
      <c r="T1672" s="1575"/>
      <c r="U1672" s="1575"/>
    </row>
    <row r="1673" spans="1:21" ht="19.149999999999999" customHeight="1">
      <c r="A1673" s="1574" t="s">
        <v>1322</v>
      </c>
      <c r="B1673" s="1574"/>
      <c r="C1673" s="1574" t="s">
        <v>5824</v>
      </c>
      <c r="D1673" s="1574"/>
      <c r="E1673" s="1574"/>
      <c r="F1673" s="1574" t="s">
        <v>2464</v>
      </c>
      <c r="G1673" s="1574"/>
      <c r="H1673" s="1574"/>
      <c r="I1673" s="1574"/>
      <c r="J1673" s="1412">
        <v>0</v>
      </c>
      <c r="K1673" s="1412">
        <v>0</v>
      </c>
      <c r="L1673" s="1412">
        <v>0</v>
      </c>
      <c r="M1673" s="1575">
        <v>0</v>
      </c>
      <c r="N1673" s="1575"/>
      <c r="O1673" s="1575">
        <v>0</v>
      </c>
      <c r="P1673" s="1575"/>
      <c r="Q1673" s="1575">
        <v>0</v>
      </c>
      <c r="R1673" s="1575"/>
      <c r="S1673" s="1575"/>
      <c r="T1673" s="1575"/>
      <c r="U1673" s="1575"/>
    </row>
    <row r="1674" spans="1:21" ht="19.149999999999999" customHeight="1">
      <c r="A1674" s="1574" t="s">
        <v>1322</v>
      </c>
      <c r="B1674" s="1574"/>
      <c r="C1674" s="1574" t="s">
        <v>5825</v>
      </c>
      <c r="D1674" s="1574"/>
      <c r="E1674" s="1574"/>
      <c r="F1674" s="1574" t="s">
        <v>2466</v>
      </c>
      <c r="G1674" s="1574"/>
      <c r="H1674" s="1574"/>
      <c r="I1674" s="1574"/>
      <c r="J1674" s="1412">
        <v>0</v>
      </c>
      <c r="K1674" s="1412">
        <v>0</v>
      </c>
      <c r="L1674" s="1412">
        <v>8564</v>
      </c>
      <c r="M1674" s="1575">
        <v>8564</v>
      </c>
      <c r="N1674" s="1575"/>
      <c r="O1674" s="1575">
        <v>0</v>
      </c>
      <c r="P1674" s="1575"/>
      <c r="Q1674" s="1575">
        <v>0</v>
      </c>
      <c r="R1674" s="1575"/>
      <c r="S1674" s="1575"/>
      <c r="T1674" s="1575"/>
      <c r="U1674" s="1575"/>
    </row>
    <row r="1675" spans="1:21" ht="19.149999999999999" customHeight="1">
      <c r="A1675" s="1574" t="s">
        <v>1322</v>
      </c>
      <c r="B1675" s="1574"/>
      <c r="C1675" s="1574" t="s">
        <v>3325</v>
      </c>
      <c r="D1675" s="1574"/>
      <c r="E1675" s="1574"/>
      <c r="F1675" s="1574" t="s">
        <v>2468</v>
      </c>
      <c r="G1675" s="1574"/>
      <c r="H1675" s="1574"/>
      <c r="I1675" s="1574"/>
      <c r="J1675" s="1412">
        <v>0</v>
      </c>
      <c r="K1675" s="1412">
        <v>0</v>
      </c>
      <c r="L1675" s="1412">
        <v>2586.8000000000002</v>
      </c>
      <c r="M1675" s="1575">
        <v>2586.8000000000002</v>
      </c>
      <c r="N1675" s="1575"/>
      <c r="O1675" s="1575">
        <v>0</v>
      </c>
      <c r="P1675" s="1575"/>
      <c r="Q1675" s="1575">
        <v>0</v>
      </c>
      <c r="R1675" s="1575"/>
      <c r="S1675" s="1575"/>
      <c r="T1675" s="1575"/>
      <c r="U1675" s="1575"/>
    </row>
    <row r="1676" spans="1:21" ht="19.149999999999999" customHeight="1">
      <c r="A1676" s="1574" t="s">
        <v>1322</v>
      </c>
      <c r="B1676" s="1574"/>
      <c r="C1676" s="1574" t="s">
        <v>6674</v>
      </c>
      <c r="D1676" s="1574"/>
      <c r="E1676" s="1574"/>
      <c r="F1676" s="1574" t="s">
        <v>2470</v>
      </c>
      <c r="G1676" s="1574"/>
      <c r="H1676" s="1574"/>
      <c r="I1676" s="1574"/>
      <c r="J1676" s="1412">
        <v>0</v>
      </c>
      <c r="K1676" s="1412">
        <v>0</v>
      </c>
      <c r="L1676" s="1412">
        <v>0</v>
      </c>
      <c r="M1676" s="1575">
        <v>0</v>
      </c>
      <c r="N1676" s="1575"/>
      <c r="O1676" s="1575">
        <v>0</v>
      </c>
      <c r="P1676" s="1575"/>
      <c r="Q1676" s="1575">
        <v>0</v>
      </c>
      <c r="R1676" s="1575"/>
      <c r="S1676" s="1575"/>
      <c r="T1676" s="1575"/>
      <c r="U1676" s="1575"/>
    </row>
    <row r="1677" spans="1:21" ht="19.149999999999999" customHeight="1">
      <c r="A1677" s="1574" t="s">
        <v>1322</v>
      </c>
      <c r="B1677" s="1574"/>
      <c r="C1677" s="1574" t="s">
        <v>2661</v>
      </c>
      <c r="D1677" s="1574"/>
      <c r="E1677" s="1574"/>
      <c r="F1677" s="1574" t="s">
        <v>2416</v>
      </c>
      <c r="G1677" s="1574"/>
      <c r="H1677" s="1574"/>
      <c r="I1677" s="1574"/>
      <c r="J1677" s="1412">
        <v>0</v>
      </c>
      <c r="K1677" s="1412">
        <v>0</v>
      </c>
      <c r="L1677" s="1412">
        <v>11540.1</v>
      </c>
      <c r="M1677" s="1575">
        <v>11540.1</v>
      </c>
      <c r="N1677" s="1575"/>
      <c r="O1677" s="1575">
        <v>0</v>
      </c>
      <c r="P1677" s="1575"/>
      <c r="Q1677" s="1575">
        <v>0</v>
      </c>
      <c r="R1677" s="1575"/>
      <c r="S1677" s="1575"/>
      <c r="T1677" s="1575"/>
      <c r="U1677" s="1575"/>
    </row>
    <row r="1678" spans="1:21" ht="19.149999999999999" customHeight="1">
      <c r="A1678" s="1574" t="s">
        <v>1322</v>
      </c>
      <c r="B1678" s="1574"/>
      <c r="C1678" s="1574" t="s">
        <v>2662</v>
      </c>
      <c r="D1678" s="1574"/>
      <c r="E1678" s="1574"/>
      <c r="F1678" s="1574" t="s">
        <v>2418</v>
      </c>
      <c r="G1678" s="1574"/>
      <c r="H1678" s="1574"/>
      <c r="I1678" s="1574"/>
      <c r="J1678" s="1412">
        <v>0</v>
      </c>
      <c r="K1678" s="1412">
        <v>0</v>
      </c>
      <c r="L1678" s="1412">
        <v>36630.99</v>
      </c>
      <c r="M1678" s="1575">
        <v>36630.99</v>
      </c>
      <c r="N1678" s="1575"/>
      <c r="O1678" s="1575">
        <v>0</v>
      </c>
      <c r="P1678" s="1575"/>
      <c r="Q1678" s="1575">
        <v>0</v>
      </c>
      <c r="R1678" s="1575"/>
      <c r="S1678" s="1575"/>
      <c r="T1678" s="1575"/>
      <c r="U1678" s="1575"/>
    </row>
    <row r="1679" spans="1:21" ht="19.149999999999999" customHeight="1">
      <c r="A1679" s="1574" t="s">
        <v>1322</v>
      </c>
      <c r="B1679" s="1574"/>
      <c r="C1679" s="1574" t="s">
        <v>5826</v>
      </c>
      <c r="D1679" s="1574"/>
      <c r="E1679" s="1574"/>
      <c r="F1679" s="1574" t="s">
        <v>2474</v>
      </c>
      <c r="G1679" s="1574"/>
      <c r="H1679" s="1574"/>
      <c r="I1679" s="1574"/>
      <c r="J1679" s="1412">
        <v>0</v>
      </c>
      <c r="K1679" s="1412">
        <v>0</v>
      </c>
      <c r="L1679" s="1412">
        <v>4793.03</v>
      </c>
      <c r="M1679" s="1575">
        <v>4793.03</v>
      </c>
      <c r="N1679" s="1575"/>
      <c r="O1679" s="1575">
        <v>0</v>
      </c>
      <c r="P1679" s="1575"/>
      <c r="Q1679" s="1575">
        <v>0</v>
      </c>
      <c r="R1679" s="1575"/>
      <c r="S1679" s="1575"/>
      <c r="T1679" s="1575"/>
      <c r="U1679" s="1575"/>
    </row>
    <row r="1680" spans="1:21" ht="19.149999999999999" customHeight="1">
      <c r="A1680" s="1574" t="s">
        <v>1322</v>
      </c>
      <c r="B1680" s="1574"/>
      <c r="C1680" s="1574" t="s">
        <v>3326</v>
      </c>
      <c r="D1680" s="1574"/>
      <c r="E1680" s="1574"/>
      <c r="F1680" s="1574" t="s">
        <v>2476</v>
      </c>
      <c r="G1680" s="1574"/>
      <c r="H1680" s="1574"/>
      <c r="I1680" s="1574"/>
      <c r="J1680" s="1412">
        <v>0</v>
      </c>
      <c r="K1680" s="1412">
        <v>0</v>
      </c>
      <c r="L1680" s="1412">
        <v>74199.78</v>
      </c>
      <c r="M1680" s="1575">
        <v>74199.78</v>
      </c>
      <c r="N1680" s="1575"/>
      <c r="O1680" s="1575">
        <v>0</v>
      </c>
      <c r="P1680" s="1575"/>
      <c r="Q1680" s="1575">
        <v>0</v>
      </c>
      <c r="R1680" s="1575"/>
      <c r="S1680" s="1575"/>
      <c r="T1680" s="1575"/>
      <c r="U1680" s="1575"/>
    </row>
    <row r="1681" spans="1:23" ht="19.149999999999999" customHeight="1">
      <c r="A1681" s="1574" t="s">
        <v>1322</v>
      </c>
      <c r="B1681" s="1574"/>
      <c r="C1681" s="1574" t="s">
        <v>4024</v>
      </c>
      <c r="D1681" s="1574"/>
      <c r="E1681" s="1574"/>
      <c r="F1681" s="1574" t="s">
        <v>2478</v>
      </c>
      <c r="G1681" s="1574"/>
      <c r="H1681" s="1574"/>
      <c r="I1681" s="1574"/>
      <c r="J1681" s="1412">
        <v>0</v>
      </c>
      <c r="K1681" s="1412">
        <v>0</v>
      </c>
      <c r="L1681" s="1412">
        <v>0</v>
      </c>
      <c r="M1681" s="1575">
        <v>0</v>
      </c>
      <c r="N1681" s="1575"/>
      <c r="O1681" s="1575">
        <v>0</v>
      </c>
      <c r="P1681" s="1575"/>
      <c r="Q1681" s="1575">
        <v>0</v>
      </c>
      <c r="R1681" s="1575"/>
      <c r="S1681" s="1575"/>
      <c r="T1681" s="1575"/>
      <c r="U1681" s="1575"/>
    </row>
    <row r="1682" spans="1:23" ht="19.149999999999999" customHeight="1">
      <c r="A1682" s="1574" t="s">
        <v>1322</v>
      </c>
      <c r="B1682" s="1574"/>
      <c r="C1682" s="1574" t="s">
        <v>5827</v>
      </c>
      <c r="D1682" s="1574"/>
      <c r="E1682" s="1574"/>
      <c r="F1682" s="1574" t="s">
        <v>2482</v>
      </c>
      <c r="G1682" s="1574"/>
      <c r="H1682" s="1574"/>
      <c r="I1682" s="1574"/>
      <c r="J1682" s="1412">
        <v>0</v>
      </c>
      <c r="K1682" s="1412">
        <v>0</v>
      </c>
      <c r="L1682" s="1412">
        <v>3150</v>
      </c>
      <c r="M1682" s="1575">
        <v>3150</v>
      </c>
      <c r="N1682" s="1575"/>
      <c r="O1682" s="1575">
        <v>0</v>
      </c>
      <c r="P1682" s="1575"/>
      <c r="Q1682" s="1575">
        <v>0</v>
      </c>
      <c r="R1682" s="1575"/>
      <c r="S1682" s="1575"/>
      <c r="T1682" s="1575"/>
      <c r="U1682" s="1575"/>
    </row>
    <row r="1683" spans="1:23" ht="19.149999999999999" customHeight="1">
      <c r="A1683" s="1574" t="s">
        <v>1322</v>
      </c>
      <c r="B1683" s="1574"/>
      <c r="C1683" s="1574" t="s">
        <v>6202</v>
      </c>
      <c r="D1683" s="1574"/>
      <c r="E1683" s="1574"/>
      <c r="F1683" s="1574" t="s">
        <v>2484</v>
      </c>
      <c r="G1683" s="1574"/>
      <c r="H1683" s="1574"/>
      <c r="I1683" s="1574"/>
      <c r="J1683" s="1412">
        <v>0</v>
      </c>
      <c r="K1683" s="1412">
        <v>0</v>
      </c>
      <c r="L1683" s="1412">
        <v>0</v>
      </c>
      <c r="M1683" s="1575">
        <v>0</v>
      </c>
      <c r="N1683" s="1575"/>
      <c r="O1683" s="1575">
        <v>0</v>
      </c>
      <c r="P1683" s="1575"/>
      <c r="Q1683" s="1575">
        <v>0</v>
      </c>
      <c r="R1683" s="1575"/>
      <c r="S1683" s="1575"/>
      <c r="T1683" s="1575"/>
      <c r="U1683" s="1575"/>
    </row>
    <row r="1684" spans="1:23" ht="19.149999999999999" customHeight="1">
      <c r="A1684" s="1574" t="s">
        <v>1322</v>
      </c>
      <c r="B1684" s="1574"/>
      <c r="C1684" s="1574" t="s">
        <v>2663</v>
      </c>
      <c r="D1684" s="1574"/>
      <c r="E1684" s="1574"/>
      <c r="F1684" s="1574" t="s">
        <v>2486</v>
      </c>
      <c r="G1684" s="1574"/>
      <c r="H1684" s="1574"/>
      <c r="I1684" s="1574"/>
      <c r="J1684" s="1412">
        <v>0</v>
      </c>
      <c r="K1684" s="1412">
        <v>0</v>
      </c>
      <c r="L1684" s="1412">
        <v>20972.55</v>
      </c>
      <c r="M1684" s="1575">
        <v>20972.55</v>
      </c>
      <c r="N1684" s="1575"/>
      <c r="O1684" s="1575">
        <v>0</v>
      </c>
      <c r="P1684" s="1575"/>
      <c r="Q1684" s="1575">
        <v>0</v>
      </c>
      <c r="R1684" s="1575"/>
      <c r="S1684" s="1575"/>
      <c r="T1684" s="1575"/>
      <c r="U1684" s="1575"/>
    </row>
    <row r="1685" spans="1:23" ht="19.149999999999999" customHeight="1">
      <c r="A1685" s="1574" t="s">
        <v>1322</v>
      </c>
      <c r="B1685" s="1574"/>
      <c r="C1685" s="1574" t="s">
        <v>2664</v>
      </c>
      <c r="D1685" s="1574"/>
      <c r="E1685" s="1574"/>
      <c r="F1685" s="1574" t="s">
        <v>2488</v>
      </c>
      <c r="G1685" s="1574"/>
      <c r="H1685" s="1574"/>
      <c r="I1685" s="1574"/>
      <c r="J1685" s="1412">
        <v>0</v>
      </c>
      <c r="K1685" s="1412">
        <v>0</v>
      </c>
      <c r="L1685" s="1412">
        <v>689.66</v>
      </c>
      <c r="M1685" s="1575">
        <v>689.66</v>
      </c>
      <c r="N1685" s="1575"/>
      <c r="O1685" s="1575">
        <v>0</v>
      </c>
      <c r="P1685" s="1575"/>
      <c r="Q1685" s="1575">
        <v>0</v>
      </c>
      <c r="R1685" s="1575"/>
      <c r="S1685" s="1575"/>
      <c r="T1685" s="1575"/>
      <c r="U1685" s="1575"/>
    </row>
    <row r="1686" spans="1:23" ht="19.149999999999999" customHeight="1">
      <c r="A1686" s="1574" t="s">
        <v>1322</v>
      </c>
      <c r="B1686" s="1574"/>
      <c r="C1686" s="1574" t="s">
        <v>2665</v>
      </c>
      <c r="D1686" s="1574"/>
      <c r="E1686" s="1574"/>
      <c r="F1686" s="1574" t="s">
        <v>2490</v>
      </c>
      <c r="G1686" s="1574"/>
      <c r="H1686" s="1574"/>
      <c r="I1686" s="1574"/>
      <c r="J1686" s="1412">
        <v>0</v>
      </c>
      <c r="K1686" s="1412">
        <v>0</v>
      </c>
      <c r="L1686" s="1412">
        <v>2925</v>
      </c>
      <c r="M1686" s="1575">
        <v>2925</v>
      </c>
      <c r="N1686" s="1575"/>
      <c r="O1686" s="1575">
        <v>0</v>
      </c>
      <c r="P1686" s="1575"/>
      <c r="Q1686" s="1575">
        <v>0</v>
      </c>
      <c r="R1686" s="1575"/>
      <c r="S1686" s="1575"/>
      <c r="T1686" s="1575"/>
      <c r="U1686" s="1575"/>
    </row>
    <row r="1687" spans="1:23" ht="19.149999999999999" customHeight="1">
      <c r="A1687" s="1574" t="s">
        <v>1322</v>
      </c>
      <c r="B1687" s="1574"/>
      <c r="C1687" s="1574" t="s">
        <v>2666</v>
      </c>
      <c r="D1687" s="1574"/>
      <c r="E1687" s="1574"/>
      <c r="F1687" s="1574" t="s">
        <v>2421</v>
      </c>
      <c r="G1687" s="1574"/>
      <c r="H1687" s="1574"/>
      <c r="I1687" s="1574"/>
      <c r="J1687" s="1412">
        <v>0</v>
      </c>
      <c r="K1687" s="1412">
        <v>0</v>
      </c>
      <c r="L1687" s="1412">
        <v>7768.56</v>
      </c>
      <c r="M1687" s="1575">
        <v>7768.56</v>
      </c>
      <c r="N1687" s="1575"/>
      <c r="O1687" s="1575">
        <v>0</v>
      </c>
      <c r="P1687" s="1575"/>
      <c r="Q1687" s="1575">
        <v>0</v>
      </c>
      <c r="R1687" s="1575"/>
      <c r="S1687" s="1575"/>
      <c r="T1687" s="1575"/>
      <c r="U1687" s="1575"/>
    </row>
    <row r="1688" spans="1:23" ht="19.149999999999999" customHeight="1">
      <c r="A1688" s="1574" t="s">
        <v>1322</v>
      </c>
      <c r="B1688" s="1574"/>
      <c r="C1688" s="1574" t="s">
        <v>5980</v>
      </c>
      <c r="D1688" s="1574"/>
      <c r="E1688" s="1574"/>
      <c r="F1688" s="1574" t="s">
        <v>2493</v>
      </c>
      <c r="G1688" s="1574"/>
      <c r="H1688" s="1574"/>
      <c r="I1688" s="1574"/>
      <c r="J1688" s="1412">
        <v>0</v>
      </c>
      <c r="K1688" s="1412">
        <v>0</v>
      </c>
      <c r="L1688" s="1412">
        <v>2213.6999999999998</v>
      </c>
      <c r="M1688" s="1575">
        <v>2213.6999999999998</v>
      </c>
      <c r="N1688" s="1575"/>
      <c r="O1688" s="1575">
        <v>0</v>
      </c>
      <c r="P1688" s="1575"/>
      <c r="Q1688" s="1575">
        <v>0</v>
      </c>
      <c r="R1688" s="1575"/>
      <c r="S1688" s="1575"/>
      <c r="T1688" s="1575"/>
      <c r="U1688" s="1575"/>
    </row>
    <row r="1689" spans="1:23" ht="6.95" customHeight="1"/>
    <row r="1690" spans="1:23" ht="14.1" customHeight="1">
      <c r="S1690" s="1573" t="s">
        <v>6562</v>
      </c>
      <c r="T1690" s="1573"/>
      <c r="U1690" s="1573"/>
      <c r="V1690" s="1573"/>
      <c r="W1690" s="1573"/>
    </row>
    <row r="1691" spans="1:23" ht="7.15" customHeight="1">
      <c r="C1691" s="1586" t="s">
        <v>2987</v>
      </c>
      <c r="D1691" s="1586"/>
      <c r="E1691" s="1586"/>
      <c r="F1691" s="1586"/>
      <c r="G1691" s="1586"/>
      <c r="H1691" s="1586"/>
      <c r="I1691" s="1586"/>
      <c r="J1691" s="1586"/>
      <c r="K1691" s="1586"/>
      <c r="L1691" s="1586"/>
      <c r="M1691" s="1586"/>
      <c r="N1691" s="1586"/>
      <c r="O1691" s="1586"/>
      <c r="P1691" s="1586"/>
      <c r="Q1691" s="1586"/>
      <c r="R1691" s="1586"/>
      <c r="S1691" s="1586"/>
      <c r="T1691" s="1586"/>
    </row>
    <row r="1692" spans="1:23" ht="9.6" customHeight="1">
      <c r="A1692" s="1587"/>
      <c r="B1692" s="1587"/>
      <c r="C1692" s="1587"/>
      <c r="D1692" s="1587"/>
      <c r="E1692" s="1587"/>
      <c r="F1692" s="1587"/>
      <c r="G1692" s="1586"/>
      <c r="H1692" s="1586"/>
      <c r="I1692" s="1586"/>
      <c r="J1692" s="1586"/>
      <c r="K1692" s="1586"/>
      <c r="L1692" s="1586"/>
      <c r="M1692" s="1586"/>
      <c r="N1692" s="1586"/>
      <c r="O1692" s="1586"/>
      <c r="P1692" s="1586"/>
      <c r="Q1692" s="1586"/>
      <c r="R1692" s="1586"/>
      <c r="S1692" s="1586"/>
      <c r="T1692" s="1586"/>
    </row>
    <row r="1693" spans="1:23" ht="13.35" customHeight="1">
      <c r="A1693" s="1587"/>
      <c r="B1693" s="1587"/>
      <c r="C1693" s="1587"/>
      <c r="D1693" s="1587"/>
      <c r="E1693" s="1587"/>
      <c r="F1693" s="1587"/>
      <c r="G1693" s="1588" t="s">
        <v>79</v>
      </c>
      <c r="H1693" s="1588"/>
      <c r="I1693" s="1588"/>
      <c r="J1693" s="1588"/>
      <c r="K1693" s="1588"/>
      <c r="L1693" s="1588"/>
      <c r="M1693" s="1588"/>
      <c r="N1693" s="1588"/>
      <c r="O1693" s="1588"/>
      <c r="P1693" s="1588"/>
      <c r="Q1693" s="1588"/>
      <c r="R1693" s="1588"/>
    </row>
    <row r="1694" spans="1:23" ht="5.25" customHeight="1">
      <c r="A1694" s="1587"/>
      <c r="B1694" s="1587"/>
      <c r="C1694" s="1587"/>
      <c r="D1694" s="1587"/>
      <c r="E1694" s="1587"/>
      <c r="F1694" s="1587"/>
      <c r="G1694" s="1581" t="s">
        <v>7015</v>
      </c>
      <c r="H1694" s="1581"/>
      <c r="I1694" s="1581"/>
      <c r="J1694" s="1581"/>
      <c r="K1694" s="1581"/>
      <c r="L1694" s="1581"/>
      <c r="M1694" s="1581"/>
      <c r="N1694" s="1581"/>
      <c r="O1694" s="1581"/>
      <c r="P1694" s="1581"/>
      <c r="Q1694" s="1581"/>
    </row>
    <row r="1695" spans="1:23" ht="8.1" customHeight="1">
      <c r="B1695" s="1580" t="s">
        <v>1916</v>
      </c>
      <c r="C1695" s="1580"/>
      <c r="D1695" s="1580"/>
      <c r="E1695" s="1580"/>
      <c r="F1695" s="1580"/>
      <c r="G1695" s="1580"/>
      <c r="H1695" s="1581"/>
      <c r="I1695" s="1581"/>
      <c r="J1695" s="1581"/>
      <c r="K1695" s="1581"/>
      <c r="L1695" s="1581"/>
      <c r="M1695" s="1581"/>
      <c r="N1695" s="1582" t="s">
        <v>5619</v>
      </c>
      <c r="O1695" s="1582"/>
      <c r="P1695" s="1582"/>
      <c r="Q1695" s="1582"/>
      <c r="R1695" s="1582"/>
      <c r="S1695" s="1582"/>
      <c r="T1695" s="1583" t="s">
        <v>7016</v>
      </c>
      <c r="U1695" s="1583"/>
      <c r="V1695" s="1583"/>
      <c r="W1695" s="1583"/>
    </row>
    <row r="1696" spans="1:23" ht="6" customHeight="1">
      <c r="B1696" s="1580"/>
      <c r="C1696" s="1580"/>
      <c r="D1696" s="1580"/>
      <c r="E1696" s="1580"/>
      <c r="F1696" s="1580"/>
      <c r="G1696" s="1580"/>
      <c r="H1696" s="1584" t="s">
        <v>7017</v>
      </c>
      <c r="I1696" s="1584"/>
      <c r="J1696" s="1584"/>
      <c r="K1696" s="1584"/>
      <c r="L1696" s="1584"/>
      <c r="M1696" s="1584"/>
      <c r="N1696" s="1582"/>
      <c r="O1696" s="1582"/>
      <c r="P1696" s="1582"/>
      <c r="Q1696" s="1582"/>
      <c r="R1696" s="1582"/>
      <c r="S1696" s="1582"/>
      <c r="T1696" s="1583"/>
      <c r="U1696" s="1583"/>
      <c r="V1696" s="1583"/>
      <c r="W1696" s="1583"/>
    </row>
    <row r="1697" spans="1:21" ht="7.35" customHeight="1">
      <c r="B1697" s="1580" t="s">
        <v>1994</v>
      </c>
      <c r="C1697" s="1580"/>
      <c r="D1697" s="1580"/>
      <c r="E1697" s="1585"/>
      <c r="F1697" s="1585"/>
      <c r="G1697" s="1585"/>
      <c r="H1697" s="1585"/>
      <c r="I1697" s="1585"/>
      <c r="J1697" s="1585"/>
      <c r="K1697" s="1585"/>
      <c r="L1697" s="1585"/>
      <c r="M1697" s="1585"/>
      <c r="N1697" s="1585"/>
      <c r="O1697" s="1585"/>
      <c r="P1697" s="1585"/>
      <c r="Q1697" s="1585"/>
      <c r="R1697" s="1582"/>
      <c r="S1697" s="1582"/>
      <c r="T1697" s="1582" t="s">
        <v>7018</v>
      </c>
      <c r="U1697" s="1582"/>
    </row>
    <row r="1698" spans="1:21" ht="6.75" customHeight="1">
      <c r="E1698" s="1585"/>
      <c r="F1698" s="1585"/>
      <c r="G1698" s="1585"/>
      <c r="H1698" s="1585"/>
      <c r="I1698" s="1585"/>
      <c r="J1698" s="1585"/>
      <c r="K1698" s="1585"/>
      <c r="L1698" s="1585"/>
      <c r="M1698" s="1585"/>
      <c r="N1698" s="1585"/>
      <c r="O1698" s="1585"/>
      <c r="P1698" s="1585"/>
      <c r="Q1698" s="1585"/>
      <c r="R1698" s="1582"/>
      <c r="S1698" s="1582"/>
      <c r="T1698" s="1582"/>
      <c r="U1698" s="1582"/>
    </row>
    <row r="1699" spans="1:21" ht="10.9" customHeight="1">
      <c r="A1699" s="1576"/>
      <c r="B1699" s="1576"/>
      <c r="C1699" s="1576"/>
      <c r="D1699" s="1576"/>
      <c r="E1699" s="1576"/>
      <c r="F1699" s="1576"/>
      <c r="G1699" s="1576"/>
      <c r="H1699" s="1576"/>
      <c r="I1699" s="1576"/>
      <c r="J1699" s="1577" t="s">
        <v>1314</v>
      </c>
      <c r="K1699" s="1577"/>
      <c r="L1699" s="1577" t="s">
        <v>1315</v>
      </c>
      <c r="M1699" s="1577"/>
      <c r="N1699" s="1577"/>
      <c r="O1699" s="1577" t="s">
        <v>1316</v>
      </c>
      <c r="P1699" s="1577"/>
      <c r="Q1699" s="1577"/>
      <c r="R1699" s="1577"/>
      <c r="S1699" s="1577"/>
      <c r="T1699" s="1577"/>
      <c r="U1699" s="1577"/>
    </row>
    <row r="1700" spans="1:21" ht="14.1" customHeight="1">
      <c r="A1700" s="1578" t="s">
        <v>1317</v>
      </c>
      <c r="B1700" s="1578"/>
      <c r="C1700" s="1578" t="s">
        <v>1318</v>
      </c>
      <c r="D1700" s="1578"/>
      <c r="E1700" s="1578"/>
      <c r="F1700" s="1578" t="s">
        <v>1319</v>
      </c>
      <c r="G1700" s="1578"/>
      <c r="H1700" s="1578"/>
      <c r="I1700" s="1578"/>
      <c r="J1700" s="1413" t="s">
        <v>1320</v>
      </c>
      <c r="K1700" s="1413" t="s">
        <v>1321</v>
      </c>
      <c r="L1700" s="1413" t="s">
        <v>1320</v>
      </c>
      <c r="M1700" s="1579" t="s">
        <v>1321</v>
      </c>
      <c r="N1700" s="1579"/>
      <c r="O1700" s="1579" t="s">
        <v>1320</v>
      </c>
      <c r="P1700" s="1579"/>
      <c r="Q1700" s="1579" t="s">
        <v>1321</v>
      </c>
      <c r="R1700" s="1579"/>
      <c r="S1700" s="1579"/>
      <c r="T1700" s="1579"/>
      <c r="U1700" s="1579"/>
    </row>
    <row r="1701" spans="1:21" ht="22.5" customHeight="1">
      <c r="A1701" s="1574" t="s">
        <v>1322</v>
      </c>
      <c r="B1701" s="1574"/>
      <c r="C1701" s="1574" t="s">
        <v>3327</v>
      </c>
      <c r="D1701" s="1574"/>
      <c r="E1701" s="1574"/>
      <c r="F1701" s="1574" t="s">
        <v>2423</v>
      </c>
      <c r="G1701" s="1574"/>
      <c r="H1701" s="1574"/>
      <c r="I1701" s="1574"/>
      <c r="J1701" s="1412">
        <v>0</v>
      </c>
      <c r="K1701" s="1412">
        <v>0</v>
      </c>
      <c r="L1701" s="1412">
        <v>3850.98</v>
      </c>
      <c r="M1701" s="1575">
        <v>3850.98</v>
      </c>
      <c r="N1701" s="1575"/>
      <c r="O1701" s="1575">
        <v>0</v>
      </c>
      <c r="P1701" s="1575"/>
      <c r="Q1701" s="1575">
        <v>0</v>
      </c>
      <c r="R1701" s="1575"/>
      <c r="S1701" s="1575"/>
      <c r="T1701" s="1575"/>
      <c r="U1701" s="1575"/>
    </row>
    <row r="1702" spans="1:21" ht="19.149999999999999" customHeight="1">
      <c r="A1702" s="1574" t="s">
        <v>1322</v>
      </c>
      <c r="B1702" s="1574"/>
      <c r="C1702" s="1574" t="s">
        <v>6473</v>
      </c>
      <c r="D1702" s="1574"/>
      <c r="E1702" s="1574"/>
      <c r="F1702" s="1574" t="s">
        <v>2496</v>
      </c>
      <c r="G1702" s="1574"/>
      <c r="H1702" s="1574"/>
      <c r="I1702" s="1574"/>
      <c r="J1702" s="1412">
        <v>0</v>
      </c>
      <c r="K1702" s="1412">
        <v>0</v>
      </c>
      <c r="L1702" s="1412">
        <v>0</v>
      </c>
      <c r="M1702" s="1575">
        <v>0</v>
      </c>
      <c r="N1702" s="1575"/>
      <c r="O1702" s="1575">
        <v>0</v>
      </c>
      <c r="P1702" s="1575"/>
      <c r="Q1702" s="1575">
        <v>0</v>
      </c>
      <c r="R1702" s="1575"/>
      <c r="S1702" s="1575"/>
      <c r="T1702" s="1575"/>
      <c r="U1702" s="1575"/>
    </row>
    <row r="1703" spans="1:21" ht="19.149999999999999" customHeight="1">
      <c r="A1703" s="1574" t="s">
        <v>1322</v>
      </c>
      <c r="B1703" s="1574"/>
      <c r="C1703" s="1574" t="s">
        <v>5828</v>
      </c>
      <c r="D1703" s="1574"/>
      <c r="E1703" s="1574"/>
      <c r="F1703" s="1574" t="s">
        <v>2498</v>
      </c>
      <c r="G1703" s="1574"/>
      <c r="H1703" s="1574"/>
      <c r="I1703" s="1574"/>
      <c r="J1703" s="1412">
        <v>0</v>
      </c>
      <c r="K1703" s="1412">
        <v>0</v>
      </c>
      <c r="L1703" s="1412">
        <v>250</v>
      </c>
      <c r="M1703" s="1575">
        <v>250</v>
      </c>
      <c r="N1703" s="1575"/>
      <c r="O1703" s="1575">
        <v>0</v>
      </c>
      <c r="P1703" s="1575"/>
      <c r="Q1703" s="1575">
        <v>0</v>
      </c>
      <c r="R1703" s="1575"/>
      <c r="S1703" s="1575"/>
      <c r="T1703" s="1575"/>
      <c r="U1703" s="1575"/>
    </row>
    <row r="1704" spans="1:21" ht="19.149999999999999" customHeight="1">
      <c r="A1704" s="1574" t="s">
        <v>1322</v>
      </c>
      <c r="B1704" s="1574"/>
      <c r="C1704" s="1574" t="s">
        <v>2668</v>
      </c>
      <c r="D1704" s="1574"/>
      <c r="E1704" s="1574"/>
      <c r="F1704" s="1574" t="s">
        <v>2500</v>
      </c>
      <c r="G1704" s="1574"/>
      <c r="H1704" s="1574"/>
      <c r="I1704" s="1574"/>
      <c r="J1704" s="1412">
        <v>0</v>
      </c>
      <c r="K1704" s="1412">
        <v>0</v>
      </c>
      <c r="L1704" s="1412">
        <v>16731.84</v>
      </c>
      <c r="M1704" s="1575">
        <v>16731.84</v>
      </c>
      <c r="N1704" s="1575"/>
      <c r="O1704" s="1575">
        <v>0</v>
      </c>
      <c r="P1704" s="1575"/>
      <c r="Q1704" s="1575">
        <v>0</v>
      </c>
      <c r="R1704" s="1575"/>
      <c r="S1704" s="1575"/>
      <c r="T1704" s="1575"/>
      <c r="U1704" s="1575"/>
    </row>
    <row r="1705" spans="1:21" ht="19.149999999999999" customHeight="1">
      <c r="A1705" s="1574" t="s">
        <v>1322</v>
      </c>
      <c r="B1705" s="1574"/>
      <c r="C1705" s="1574" t="s">
        <v>2669</v>
      </c>
      <c r="D1705" s="1574"/>
      <c r="E1705" s="1574"/>
      <c r="F1705" s="1574" t="s">
        <v>2502</v>
      </c>
      <c r="G1705" s="1574"/>
      <c r="H1705" s="1574"/>
      <c r="I1705" s="1574"/>
      <c r="J1705" s="1412">
        <v>0</v>
      </c>
      <c r="K1705" s="1412">
        <v>0</v>
      </c>
      <c r="L1705" s="1412">
        <v>154247.09</v>
      </c>
      <c r="M1705" s="1575">
        <v>154247.09</v>
      </c>
      <c r="N1705" s="1575"/>
      <c r="O1705" s="1575">
        <v>0</v>
      </c>
      <c r="P1705" s="1575"/>
      <c r="Q1705" s="1575">
        <v>0</v>
      </c>
      <c r="R1705" s="1575"/>
      <c r="S1705" s="1575"/>
      <c r="T1705" s="1575"/>
      <c r="U1705" s="1575"/>
    </row>
    <row r="1706" spans="1:21" ht="19.149999999999999" customHeight="1">
      <c r="A1706" s="1574" t="s">
        <v>1322</v>
      </c>
      <c r="B1706" s="1574"/>
      <c r="C1706" s="1574" t="s">
        <v>2670</v>
      </c>
      <c r="D1706" s="1574"/>
      <c r="E1706" s="1574"/>
      <c r="F1706" s="1574" t="s">
        <v>2509</v>
      </c>
      <c r="G1706" s="1574"/>
      <c r="H1706" s="1574"/>
      <c r="I1706" s="1574"/>
      <c r="J1706" s="1412">
        <v>0</v>
      </c>
      <c r="K1706" s="1412">
        <v>0</v>
      </c>
      <c r="L1706" s="1412">
        <v>10510.74</v>
      </c>
      <c r="M1706" s="1575">
        <v>10510.74</v>
      </c>
      <c r="N1706" s="1575"/>
      <c r="O1706" s="1575">
        <v>0</v>
      </c>
      <c r="P1706" s="1575"/>
      <c r="Q1706" s="1575">
        <v>0</v>
      </c>
      <c r="R1706" s="1575"/>
      <c r="S1706" s="1575"/>
      <c r="T1706" s="1575"/>
      <c r="U1706" s="1575"/>
    </row>
    <row r="1707" spans="1:21" ht="19.149999999999999" customHeight="1">
      <c r="A1707" s="1574" t="s">
        <v>1322</v>
      </c>
      <c r="B1707" s="1574"/>
      <c r="C1707" s="1574" t="s">
        <v>2671</v>
      </c>
      <c r="D1707" s="1574"/>
      <c r="E1707" s="1574"/>
      <c r="F1707" s="1574" t="s">
        <v>2511</v>
      </c>
      <c r="G1707" s="1574"/>
      <c r="H1707" s="1574"/>
      <c r="I1707" s="1574"/>
      <c r="J1707" s="1412">
        <v>0</v>
      </c>
      <c r="K1707" s="1412">
        <v>0</v>
      </c>
      <c r="L1707" s="1412">
        <v>133763.01</v>
      </c>
      <c r="M1707" s="1575">
        <v>133763.01</v>
      </c>
      <c r="N1707" s="1575"/>
      <c r="O1707" s="1575">
        <v>0</v>
      </c>
      <c r="P1707" s="1575"/>
      <c r="Q1707" s="1575">
        <v>0</v>
      </c>
      <c r="R1707" s="1575"/>
      <c r="S1707" s="1575"/>
      <c r="T1707" s="1575"/>
      <c r="U1707" s="1575"/>
    </row>
    <row r="1708" spans="1:21" ht="19.149999999999999" customHeight="1">
      <c r="A1708" s="1574" t="s">
        <v>1322</v>
      </c>
      <c r="B1708" s="1574"/>
      <c r="C1708" s="1574" t="s">
        <v>2967</v>
      </c>
      <c r="D1708" s="1574"/>
      <c r="E1708" s="1574"/>
      <c r="F1708" s="1574" t="s">
        <v>2513</v>
      </c>
      <c r="G1708" s="1574"/>
      <c r="H1708" s="1574"/>
      <c r="I1708" s="1574"/>
      <c r="J1708" s="1412">
        <v>0</v>
      </c>
      <c r="K1708" s="1412">
        <v>0</v>
      </c>
      <c r="L1708" s="1412">
        <v>139793.91</v>
      </c>
      <c r="M1708" s="1575">
        <v>139793.91</v>
      </c>
      <c r="N1708" s="1575"/>
      <c r="O1708" s="1575">
        <v>0</v>
      </c>
      <c r="P1708" s="1575"/>
      <c r="Q1708" s="1575">
        <v>0</v>
      </c>
      <c r="R1708" s="1575"/>
      <c r="S1708" s="1575"/>
      <c r="T1708" s="1575"/>
      <c r="U1708" s="1575"/>
    </row>
    <row r="1709" spans="1:21" ht="19.149999999999999" customHeight="1">
      <c r="A1709" s="1574" t="s">
        <v>1322</v>
      </c>
      <c r="B1709" s="1574"/>
      <c r="C1709" s="1574" t="s">
        <v>2672</v>
      </c>
      <c r="D1709" s="1574"/>
      <c r="E1709" s="1574"/>
      <c r="F1709" s="1574" t="s">
        <v>2387</v>
      </c>
      <c r="G1709" s="1574"/>
      <c r="H1709" s="1574"/>
      <c r="I1709" s="1574"/>
      <c r="J1709" s="1412">
        <v>0</v>
      </c>
      <c r="K1709" s="1412">
        <v>0</v>
      </c>
      <c r="L1709" s="1412">
        <v>145905.60000000001</v>
      </c>
      <c r="M1709" s="1575">
        <v>145905.60000000001</v>
      </c>
      <c r="N1709" s="1575"/>
      <c r="O1709" s="1575">
        <v>0</v>
      </c>
      <c r="P1709" s="1575"/>
      <c r="Q1709" s="1575">
        <v>0</v>
      </c>
      <c r="R1709" s="1575"/>
      <c r="S1709" s="1575"/>
      <c r="T1709" s="1575"/>
      <c r="U1709" s="1575"/>
    </row>
    <row r="1710" spans="1:21" ht="19.149999999999999" customHeight="1">
      <c r="A1710" s="1574" t="s">
        <v>1322</v>
      </c>
      <c r="B1710" s="1574"/>
      <c r="C1710" s="1574" t="s">
        <v>6559</v>
      </c>
      <c r="D1710" s="1574"/>
      <c r="E1710" s="1574"/>
      <c r="F1710" s="1574" t="s">
        <v>2390</v>
      </c>
      <c r="G1710" s="1574"/>
      <c r="H1710" s="1574"/>
      <c r="I1710" s="1574"/>
      <c r="J1710" s="1412">
        <v>0</v>
      </c>
      <c r="K1710" s="1412">
        <v>0</v>
      </c>
      <c r="L1710" s="1412">
        <v>222414.33</v>
      </c>
      <c r="M1710" s="1575">
        <v>222414.33</v>
      </c>
      <c r="N1710" s="1575"/>
      <c r="O1710" s="1575">
        <v>0</v>
      </c>
      <c r="P1710" s="1575"/>
      <c r="Q1710" s="1575">
        <v>0</v>
      </c>
      <c r="R1710" s="1575"/>
      <c r="S1710" s="1575"/>
      <c r="T1710" s="1575"/>
      <c r="U1710" s="1575"/>
    </row>
    <row r="1711" spans="1:21" ht="19.149999999999999" customHeight="1">
      <c r="A1711" s="1574" t="s">
        <v>1322</v>
      </c>
      <c r="B1711" s="1574"/>
      <c r="C1711" s="1574" t="s">
        <v>6560</v>
      </c>
      <c r="D1711" s="1574"/>
      <c r="E1711" s="1574"/>
      <c r="F1711" s="1574" t="s">
        <v>2392</v>
      </c>
      <c r="G1711" s="1574"/>
      <c r="H1711" s="1574"/>
      <c r="I1711" s="1574"/>
      <c r="J1711" s="1412">
        <v>0</v>
      </c>
      <c r="K1711" s="1412">
        <v>0</v>
      </c>
      <c r="L1711" s="1412">
        <v>11478.46</v>
      </c>
      <c r="M1711" s="1575">
        <v>11478.46</v>
      </c>
      <c r="N1711" s="1575"/>
      <c r="O1711" s="1575">
        <v>0</v>
      </c>
      <c r="P1711" s="1575"/>
      <c r="Q1711" s="1575">
        <v>0</v>
      </c>
      <c r="R1711" s="1575"/>
      <c r="S1711" s="1575"/>
      <c r="T1711" s="1575"/>
      <c r="U1711" s="1575"/>
    </row>
    <row r="1712" spans="1:21" ht="19.149999999999999" customHeight="1">
      <c r="A1712" s="1574" t="s">
        <v>1322</v>
      </c>
      <c r="B1712" s="1574"/>
      <c r="C1712" s="1574" t="s">
        <v>2673</v>
      </c>
      <c r="D1712" s="1574"/>
      <c r="E1712" s="1574"/>
      <c r="F1712" s="1574" t="s">
        <v>2396</v>
      </c>
      <c r="G1712" s="1574"/>
      <c r="H1712" s="1574"/>
      <c r="I1712" s="1574"/>
      <c r="J1712" s="1412">
        <v>0</v>
      </c>
      <c r="K1712" s="1412">
        <v>0</v>
      </c>
      <c r="L1712" s="1412">
        <v>37205.94</v>
      </c>
      <c r="M1712" s="1575">
        <v>37205.94</v>
      </c>
      <c r="N1712" s="1575"/>
      <c r="O1712" s="1575">
        <v>0</v>
      </c>
      <c r="P1712" s="1575"/>
      <c r="Q1712" s="1575">
        <v>0</v>
      </c>
      <c r="R1712" s="1575"/>
      <c r="S1712" s="1575"/>
      <c r="T1712" s="1575"/>
      <c r="U1712" s="1575"/>
    </row>
    <row r="1713" spans="1:23" ht="19.149999999999999" customHeight="1">
      <c r="A1713" s="1574" t="s">
        <v>1322</v>
      </c>
      <c r="B1713" s="1574"/>
      <c r="C1713" s="1574" t="s">
        <v>2674</v>
      </c>
      <c r="D1713" s="1574"/>
      <c r="E1713" s="1574"/>
      <c r="F1713" s="1574" t="s">
        <v>2398</v>
      </c>
      <c r="G1713" s="1574"/>
      <c r="H1713" s="1574"/>
      <c r="I1713" s="1574"/>
      <c r="J1713" s="1412">
        <v>0</v>
      </c>
      <c r="K1713" s="1412">
        <v>0</v>
      </c>
      <c r="L1713" s="1412">
        <v>475.36</v>
      </c>
      <c r="M1713" s="1575">
        <v>475.36</v>
      </c>
      <c r="N1713" s="1575"/>
      <c r="O1713" s="1575">
        <v>0</v>
      </c>
      <c r="P1713" s="1575"/>
      <c r="Q1713" s="1575">
        <v>0</v>
      </c>
      <c r="R1713" s="1575"/>
      <c r="S1713" s="1575"/>
      <c r="T1713" s="1575"/>
      <c r="U1713" s="1575"/>
    </row>
    <row r="1714" spans="1:23" ht="19.149999999999999" customHeight="1">
      <c r="A1714" s="1574" t="s">
        <v>1322</v>
      </c>
      <c r="B1714" s="1574"/>
      <c r="C1714" s="1574" t="s">
        <v>2675</v>
      </c>
      <c r="D1714" s="1574"/>
      <c r="E1714" s="1574"/>
      <c r="F1714" s="1574" t="s">
        <v>2400</v>
      </c>
      <c r="G1714" s="1574"/>
      <c r="H1714" s="1574"/>
      <c r="I1714" s="1574"/>
      <c r="J1714" s="1412">
        <v>0</v>
      </c>
      <c r="K1714" s="1412">
        <v>0</v>
      </c>
      <c r="L1714" s="1412">
        <v>0</v>
      </c>
      <c r="M1714" s="1575">
        <v>0</v>
      </c>
      <c r="N1714" s="1575"/>
      <c r="O1714" s="1575">
        <v>0</v>
      </c>
      <c r="P1714" s="1575"/>
      <c r="Q1714" s="1575">
        <v>0</v>
      </c>
      <c r="R1714" s="1575"/>
      <c r="S1714" s="1575"/>
      <c r="T1714" s="1575"/>
      <c r="U1714" s="1575"/>
    </row>
    <row r="1715" spans="1:23" ht="19.149999999999999" customHeight="1">
      <c r="A1715" s="1574" t="s">
        <v>1322</v>
      </c>
      <c r="B1715" s="1574"/>
      <c r="C1715" s="1574" t="s">
        <v>2676</v>
      </c>
      <c r="D1715" s="1574"/>
      <c r="E1715" s="1574"/>
      <c r="F1715" s="1574" t="s">
        <v>2402</v>
      </c>
      <c r="G1715" s="1574"/>
      <c r="H1715" s="1574"/>
      <c r="I1715" s="1574"/>
      <c r="J1715" s="1412">
        <v>0</v>
      </c>
      <c r="K1715" s="1412">
        <v>0</v>
      </c>
      <c r="L1715" s="1412">
        <v>10171.700000000001</v>
      </c>
      <c r="M1715" s="1575">
        <v>10171.700000000001</v>
      </c>
      <c r="N1715" s="1575"/>
      <c r="O1715" s="1575">
        <v>0</v>
      </c>
      <c r="P1715" s="1575"/>
      <c r="Q1715" s="1575">
        <v>0</v>
      </c>
      <c r="R1715" s="1575"/>
      <c r="S1715" s="1575"/>
      <c r="T1715" s="1575"/>
      <c r="U1715" s="1575"/>
    </row>
    <row r="1716" spans="1:23" ht="19.149999999999999" customHeight="1">
      <c r="A1716" s="1574" t="s">
        <v>1322</v>
      </c>
      <c r="B1716" s="1574"/>
      <c r="C1716" s="1574" t="s">
        <v>2677</v>
      </c>
      <c r="D1716" s="1574"/>
      <c r="E1716" s="1574"/>
      <c r="F1716" s="1574" t="s">
        <v>2419</v>
      </c>
      <c r="G1716" s="1574"/>
      <c r="H1716" s="1574"/>
      <c r="I1716" s="1574"/>
      <c r="J1716" s="1412">
        <v>0</v>
      </c>
      <c r="K1716" s="1412">
        <v>0</v>
      </c>
      <c r="L1716" s="1412">
        <v>981970</v>
      </c>
      <c r="M1716" s="1575">
        <v>981970</v>
      </c>
      <c r="N1716" s="1575"/>
      <c r="O1716" s="1575">
        <v>0</v>
      </c>
      <c r="P1716" s="1575"/>
      <c r="Q1716" s="1575">
        <v>0</v>
      </c>
      <c r="R1716" s="1575"/>
      <c r="S1716" s="1575"/>
      <c r="T1716" s="1575"/>
      <c r="U1716" s="1575"/>
    </row>
    <row r="1717" spans="1:23" ht="19.149999999999999" customHeight="1">
      <c r="A1717" s="1574" t="s">
        <v>1322</v>
      </c>
      <c r="B1717" s="1574"/>
      <c r="C1717" s="1574" t="s">
        <v>2678</v>
      </c>
      <c r="D1717" s="1574"/>
      <c r="E1717" s="1574"/>
      <c r="F1717" s="1574" t="s">
        <v>2524</v>
      </c>
      <c r="G1717" s="1574"/>
      <c r="H1717" s="1574"/>
      <c r="I1717" s="1574"/>
      <c r="J1717" s="1412">
        <v>0</v>
      </c>
      <c r="K1717" s="1412">
        <v>0</v>
      </c>
      <c r="L1717" s="1412">
        <v>12854.08</v>
      </c>
      <c r="M1717" s="1575">
        <v>12854.08</v>
      </c>
      <c r="N1717" s="1575"/>
      <c r="O1717" s="1575">
        <v>0</v>
      </c>
      <c r="P1717" s="1575"/>
      <c r="Q1717" s="1575">
        <v>0</v>
      </c>
      <c r="R1717" s="1575"/>
      <c r="S1717" s="1575"/>
      <c r="T1717" s="1575"/>
      <c r="U1717" s="1575"/>
    </row>
    <row r="1718" spans="1:23" ht="19.149999999999999" customHeight="1">
      <c r="A1718" s="1574" t="s">
        <v>1322</v>
      </c>
      <c r="B1718" s="1574"/>
      <c r="C1718" s="1574" t="s">
        <v>3116</v>
      </c>
      <c r="D1718" s="1574"/>
      <c r="E1718" s="1574"/>
      <c r="F1718" s="1574" t="s">
        <v>2528</v>
      </c>
      <c r="G1718" s="1574"/>
      <c r="H1718" s="1574"/>
      <c r="I1718" s="1574"/>
      <c r="J1718" s="1412">
        <v>0</v>
      </c>
      <c r="K1718" s="1412">
        <v>0</v>
      </c>
      <c r="L1718" s="1412">
        <v>28218</v>
      </c>
      <c r="M1718" s="1575">
        <v>28218</v>
      </c>
      <c r="N1718" s="1575"/>
      <c r="O1718" s="1575">
        <v>0</v>
      </c>
      <c r="P1718" s="1575"/>
      <c r="Q1718" s="1575">
        <v>0</v>
      </c>
      <c r="R1718" s="1575"/>
      <c r="S1718" s="1575"/>
      <c r="T1718" s="1575"/>
      <c r="U1718" s="1575"/>
    </row>
    <row r="1719" spans="1:23" ht="19.149999999999999" customHeight="1">
      <c r="A1719" s="1574" t="s">
        <v>1322</v>
      </c>
      <c r="B1719" s="1574"/>
      <c r="C1719" s="1574" t="s">
        <v>5829</v>
      </c>
      <c r="D1719" s="1574"/>
      <c r="E1719" s="1574"/>
      <c r="F1719" s="1574" t="s">
        <v>2530</v>
      </c>
      <c r="G1719" s="1574"/>
      <c r="H1719" s="1574"/>
      <c r="I1719" s="1574"/>
      <c r="J1719" s="1412">
        <v>0</v>
      </c>
      <c r="K1719" s="1412">
        <v>0</v>
      </c>
      <c r="L1719" s="1412">
        <v>0</v>
      </c>
      <c r="M1719" s="1575">
        <v>0</v>
      </c>
      <c r="N1719" s="1575"/>
      <c r="O1719" s="1575">
        <v>0</v>
      </c>
      <c r="P1719" s="1575"/>
      <c r="Q1719" s="1575">
        <v>0</v>
      </c>
      <c r="R1719" s="1575"/>
      <c r="S1719" s="1575"/>
      <c r="T1719" s="1575"/>
      <c r="U1719" s="1575"/>
    </row>
    <row r="1720" spans="1:23" ht="10.9" customHeight="1">
      <c r="A1720" s="1574" t="s">
        <v>1322</v>
      </c>
      <c r="B1720" s="1574"/>
      <c r="C1720" s="1574" t="s">
        <v>1695</v>
      </c>
      <c r="D1720" s="1574"/>
      <c r="E1720" s="1574"/>
      <c r="F1720" s="1574" t="s">
        <v>1696</v>
      </c>
      <c r="G1720" s="1574"/>
      <c r="H1720" s="1574"/>
      <c r="I1720" s="1574"/>
      <c r="J1720" s="1412">
        <v>0</v>
      </c>
      <c r="K1720" s="1412">
        <v>0</v>
      </c>
      <c r="L1720" s="1412">
        <v>8472251.1699999999</v>
      </c>
      <c r="M1720" s="1575">
        <v>8472251.1699999999</v>
      </c>
      <c r="N1720" s="1575"/>
      <c r="O1720" s="1575">
        <v>0</v>
      </c>
      <c r="P1720" s="1575"/>
      <c r="Q1720" s="1575">
        <v>0</v>
      </c>
      <c r="R1720" s="1575"/>
      <c r="S1720" s="1575"/>
      <c r="T1720" s="1575"/>
      <c r="U1720" s="1575"/>
    </row>
    <row r="1721" spans="1:23" ht="19.149999999999999" customHeight="1">
      <c r="A1721" s="1574" t="s">
        <v>1322</v>
      </c>
      <c r="B1721" s="1574"/>
      <c r="C1721" s="1574" t="s">
        <v>2679</v>
      </c>
      <c r="D1721" s="1574"/>
      <c r="E1721" s="1574"/>
      <c r="F1721" s="1574" t="s">
        <v>2387</v>
      </c>
      <c r="G1721" s="1574"/>
      <c r="H1721" s="1574"/>
      <c r="I1721" s="1574"/>
      <c r="J1721" s="1412">
        <v>0</v>
      </c>
      <c r="K1721" s="1412">
        <v>0</v>
      </c>
      <c r="L1721" s="1412">
        <v>46160.4</v>
      </c>
      <c r="M1721" s="1575">
        <v>46160.4</v>
      </c>
      <c r="N1721" s="1575"/>
      <c r="O1721" s="1575">
        <v>0</v>
      </c>
      <c r="P1721" s="1575"/>
      <c r="Q1721" s="1575">
        <v>0</v>
      </c>
      <c r="R1721" s="1575"/>
      <c r="S1721" s="1575"/>
      <c r="T1721" s="1575"/>
      <c r="U1721" s="1575"/>
    </row>
    <row r="1722" spans="1:23" ht="19.149999999999999" customHeight="1">
      <c r="A1722" s="1574" t="s">
        <v>1322</v>
      </c>
      <c r="B1722" s="1574"/>
      <c r="C1722" s="1574" t="s">
        <v>7065</v>
      </c>
      <c r="D1722" s="1574"/>
      <c r="E1722" s="1574"/>
      <c r="F1722" s="1574" t="s">
        <v>2390</v>
      </c>
      <c r="G1722" s="1574"/>
      <c r="H1722" s="1574"/>
      <c r="I1722" s="1574"/>
      <c r="J1722" s="1412">
        <v>0</v>
      </c>
      <c r="K1722" s="1412">
        <v>0</v>
      </c>
      <c r="L1722" s="1412">
        <v>77857.210000000006</v>
      </c>
      <c r="M1722" s="1575">
        <v>77857.210000000006</v>
      </c>
      <c r="N1722" s="1575"/>
      <c r="O1722" s="1575">
        <v>0</v>
      </c>
      <c r="P1722" s="1575"/>
      <c r="Q1722" s="1575">
        <v>0</v>
      </c>
      <c r="R1722" s="1575"/>
      <c r="S1722" s="1575"/>
      <c r="T1722" s="1575"/>
      <c r="U1722" s="1575"/>
    </row>
    <row r="1723" spans="1:23" ht="19.149999999999999" customHeight="1">
      <c r="A1723" s="1574" t="s">
        <v>1322</v>
      </c>
      <c r="B1723" s="1574"/>
      <c r="C1723" s="1574" t="s">
        <v>6358</v>
      </c>
      <c r="D1723" s="1574"/>
      <c r="E1723" s="1574"/>
      <c r="F1723" s="1574" t="s">
        <v>2392</v>
      </c>
      <c r="G1723" s="1574"/>
      <c r="H1723" s="1574"/>
      <c r="I1723" s="1574"/>
      <c r="J1723" s="1412">
        <v>0</v>
      </c>
      <c r="K1723" s="1412">
        <v>0</v>
      </c>
      <c r="L1723" s="1412">
        <v>3846.7</v>
      </c>
      <c r="M1723" s="1575">
        <v>3846.7</v>
      </c>
      <c r="N1723" s="1575"/>
      <c r="O1723" s="1575">
        <v>0</v>
      </c>
      <c r="P1723" s="1575"/>
      <c r="Q1723" s="1575">
        <v>0</v>
      </c>
      <c r="R1723" s="1575"/>
      <c r="S1723" s="1575"/>
      <c r="T1723" s="1575"/>
      <c r="U1723" s="1575"/>
    </row>
    <row r="1724" spans="1:23" ht="15.2" customHeight="1"/>
    <row r="1725" spans="1:23" ht="14.1" customHeight="1">
      <c r="S1725" s="1573" t="s">
        <v>6563</v>
      </c>
      <c r="T1725" s="1573"/>
      <c r="U1725" s="1573"/>
      <c r="V1725" s="1573"/>
      <c r="W1725" s="1573"/>
    </row>
    <row r="1726" spans="1:23" ht="7.15" customHeight="1">
      <c r="C1726" s="1586" t="s">
        <v>2987</v>
      </c>
      <c r="D1726" s="1586"/>
      <c r="E1726" s="1586"/>
      <c r="F1726" s="1586"/>
      <c r="G1726" s="1586"/>
      <c r="H1726" s="1586"/>
      <c r="I1726" s="1586"/>
      <c r="J1726" s="1586"/>
      <c r="K1726" s="1586"/>
      <c r="L1726" s="1586"/>
      <c r="M1726" s="1586"/>
      <c r="N1726" s="1586"/>
      <c r="O1726" s="1586"/>
      <c r="P1726" s="1586"/>
      <c r="Q1726" s="1586"/>
      <c r="R1726" s="1586"/>
      <c r="S1726" s="1586"/>
      <c r="T1726" s="1586"/>
    </row>
    <row r="1727" spans="1:23" ht="9.6" customHeight="1">
      <c r="A1727" s="1587"/>
      <c r="B1727" s="1587"/>
      <c r="C1727" s="1587"/>
      <c r="D1727" s="1587"/>
      <c r="E1727" s="1587"/>
      <c r="F1727" s="1587"/>
      <c r="G1727" s="1586"/>
      <c r="H1727" s="1586"/>
      <c r="I1727" s="1586"/>
      <c r="J1727" s="1586"/>
      <c r="K1727" s="1586"/>
      <c r="L1727" s="1586"/>
      <c r="M1727" s="1586"/>
      <c r="N1727" s="1586"/>
      <c r="O1727" s="1586"/>
      <c r="P1727" s="1586"/>
      <c r="Q1727" s="1586"/>
      <c r="R1727" s="1586"/>
      <c r="S1727" s="1586"/>
      <c r="T1727" s="1586"/>
    </row>
    <row r="1728" spans="1:23" ht="13.35" customHeight="1">
      <c r="A1728" s="1587"/>
      <c r="B1728" s="1587"/>
      <c r="C1728" s="1587"/>
      <c r="D1728" s="1587"/>
      <c r="E1728" s="1587"/>
      <c r="F1728" s="1587"/>
      <c r="G1728" s="1588" t="s">
        <v>79</v>
      </c>
      <c r="H1728" s="1588"/>
      <c r="I1728" s="1588"/>
      <c r="J1728" s="1588"/>
      <c r="K1728" s="1588"/>
      <c r="L1728" s="1588"/>
      <c r="M1728" s="1588"/>
      <c r="N1728" s="1588"/>
      <c r="O1728" s="1588"/>
      <c r="P1728" s="1588"/>
      <c r="Q1728" s="1588"/>
      <c r="R1728" s="1588"/>
    </row>
    <row r="1729" spans="1:23" ht="5.25" customHeight="1">
      <c r="A1729" s="1587"/>
      <c r="B1729" s="1587"/>
      <c r="C1729" s="1587"/>
      <c r="D1729" s="1587"/>
      <c r="E1729" s="1587"/>
      <c r="F1729" s="1587"/>
      <c r="G1729" s="1581" t="s">
        <v>7015</v>
      </c>
      <c r="H1729" s="1581"/>
      <c r="I1729" s="1581"/>
      <c r="J1729" s="1581"/>
      <c r="K1729" s="1581"/>
      <c r="L1729" s="1581"/>
      <c r="M1729" s="1581"/>
      <c r="N1729" s="1581"/>
      <c r="O1729" s="1581"/>
      <c r="P1729" s="1581"/>
      <c r="Q1729" s="1581"/>
    </row>
    <row r="1730" spans="1:23" ht="8.1" customHeight="1">
      <c r="B1730" s="1580" t="s">
        <v>1916</v>
      </c>
      <c r="C1730" s="1580"/>
      <c r="D1730" s="1580"/>
      <c r="E1730" s="1580"/>
      <c r="F1730" s="1580"/>
      <c r="G1730" s="1580"/>
      <c r="H1730" s="1581"/>
      <c r="I1730" s="1581"/>
      <c r="J1730" s="1581"/>
      <c r="K1730" s="1581"/>
      <c r="L1730" s="1581"/>
      <c r="M1730" s="1581"/>
      <c r="N1730" s="1582" t="s">
        <v>5619</v>
      </c>
      <c r="O1730" s="1582"/>
      <c r="P1730" s="1582"/>
      <c r="Q1730" s="1582"/>
      <c r="R1730" s="1582"/>
      <c r="S1730" s="1582"/>
      <c r="T1730" s="1583" t="s">
        <v>7016</v>
      </c>
      <c r="U1730" s="1583"/>
      <c r="V1730" s="1583"/>
      <c r="W1730" s="1583"/>
    </row>
    <row r="1731" spans="1:23" ht="6" customHeight="1">
      <c r="B1731" s="1580"/>
      <c r="C1731" s="1580"/>
      <c r="D1731" s="1580"/>
      <c r="E1731" s="1580"/>
      <c r="F1731" s="1580"/>
      <c r="G1731" s="1580"/>
      <c r="H1731" s="1584" t="s">
        <v>7017</v>
      </c>
      <c r="I1731" s="1584"/>
      <c r="J1731" s="1584"/>
      <c r="K1731" s="1584"/>
      <c r="L1731" s="1584"/>
      <c r="M1731" s="1584"/>
      <c r="N1731" s="1582"/>
      <c r="O1731" s="1582"/>
      <c r="P1731" s="1582"/>
      <c r="Q1731" s="1582"/>
      <c r="R1731" s="1582"/>
      <c r="S1731" s="1582"/>
      <c r="T1731" s="1583"/>
      <c r="U1731" s="1583"/>
      <c r="V1731" s="1583"/>
      <c r="W1731" s="1583"/>
    </row>
    <row r="1732" spans="1:23" ht="7.35" customHeight="1">
      <c r="B1732" s="1580" t="s">
        <v>1994</v>
      </c>
      <c r="C1732" s="1580"/>
      <c r="D1732" s="1580"/>
      <c r="E1732" s="1585"/>
      <c r="F1732" s="1585"/>
      <c r="G1732" s="1585"/>
      <c r="H1732" s="1585"/>
      <c r="I1732" s="1585"/>
      <c r="J1732" s="1585"/>
      <c r="K1732" s="1585"/>
      <c r="L1732" s="1585"/>
      <c r="M1732" s="1585"/>
      <c r="N1732" s="1585"/>
      <c r="O1732" s="1585"/>
      <c r="P1732" s="1585"/>
      <c r="Q1732" s="1585"/>
      <c r="R1732" s="1582"/>
      <c r="S1732" s="1582"/>
      <c r="T1732" s="1582" t="s">
        <v>7018</v>
      </c>
      <c r="U1732" s="1582"/>
    </row>
    <row r="1733" spans="1:23" ht="6.75" customHeight="1">
      <c r="E1733" s="1585"/>
      <c r="F1733" s="1585"/>
      <c r="G1733" s="1585"/>
      <c r="H1733" s="1585"/>
      <c r="I1733" s="1585"/>
      <c r="J1733" s="1585"/>
      <c r="K1733" s="1585"/>
      <c r="L1733" s="1585"/>
      <c r="M1733" s="1585"/>
      <c r="N1733" s="1585"/>
      <c r="O1733" s="1585"/>
      <c r="P1733" s="1585"/>
      <c r="Q1733" s="1585"/>
      <c r="R1733" s="1582"/>
      <c r="S1733" s="1582"/>
      <c r="T1733" s="1582"/>
      <c r="U1733" s="1582"/>
    </row>
    <row r="1734" spans="1:23" ht="10.9" customHeight="1">
      <c r="A1734" s="1576"/>
      <c r="B1734" s="1576"/>
      <c r="C1734" s="1576"/>
      <c r="D1734" s="1576"/>
      <c r="E1734" s="1576"/>
      <c r="F1734" s="1576"/>
      <c r="G1734" s="1576"/>
      <c r="H1734" s="1576"/>
      <c r="I1734" s="1576"/>
      <c r="J1734" s="1577" t="s">
        <v>1314</v>
      </c>
      <c r="K1734" s="1577"/>
      <c r="L1734" s="1577" t="s">
        <v>1315</v>
      </c>
      <c r="M1734" s="1577"/>
      <c r="N1734" s="1577"/>
      <c r="O1734" s="1577" t="s">
        <v>1316</v>
      </c>
      <c r="P1734" s="1577"/>
      <c r="Q1734" s="1577"/>
      <c r="R1734" s="1577"/>
      <c r="S1734" s="1577"/>
      <c r="T1734" s="1577"/>
      <c r="U1734" s="1577"/>
    </row>
    <row r="1735" spans="1:23" ht="14.1" customHeight="1">
      <c r="A1735" s="1578" t="s">
        <v>1317</v>
      </c>
      <c r="B1735" s="1578"/>
      <c r="C1735" s="1578" t="s">
        <v>1318</v>
      </c>
      <c r="D1735" s="1578"/>
      <c r="E1735" s="1578"/>
      <c r="F1735" s="1578" t="s">
        <v>1319</v>
      </c>
      <c r="G1735" s="1578"/>
      <c r="H1735" s="1578"/>
      <c r="I1735" s="1578"/>
      <c r="J1735" s="1413" t="s">
        <v>1320</v>
      </c>
      <c r="K1735" s="1413" t="s">
        <v>1321</v>
      </c>
      <c r="L1735" s="1413" t="s">
        <v>1320</v>
      </c>
      <c r="M1735" s="1579" t="s">
        <v>1321</v>
      </c>
      <c r="N1735" s="1579"/>
      <c r="O1735" s="1579" t="s">
        <v>1320</v>
      </c>
      <c r="P1735" s="1579"/>
      <c r="Q1735" s="1579" t="s">
        <v>1321</v>
      </c>
      <c r="R1735" s="1579"/>
      <c r="S1735" s="1579"/>
      <c r="T1735" s="1579"/>
      <c r="U1735" s="1579"/>
    </row>
    <row r="1736" spans="1:23" ht="22.5" customHeight="1">
      <c r="A1736" s="1574" t="s">
        <v>1322</v>
      </c>
      <c r="B1736" s="1574"/>
      <c r="C1736" s="1574" t="s">
        <v>2680</v>
      </c>
      <c r="D1736" s="1574"/>
      <c r="E1736" s="1574"/>
      <c r="F1736" s="1574" t="s">
        <v>2396</v>
      </c>
      <c r="G1736" s="1574"/>
      <c r="H1736" s="1574"/>
      <c r="I1736" s="1574"/>
      <c r="J1736" s="1412">
        <v>0</v>
      </c>
      <c r="K1736" s="1412">
        <v>0</v>
      </c>
      <c r="L1736" s="1412">
        <v>11770.92</v>
      </c>
      <c r="M1736" s="1575">
        <v>11770.92</v>
      </c>
      <c r="N1736" s="1575"/>
      <c r="O1736" s="1575">
        <v>0</v>
      </c>
      <c r="P1736" s="1575"/>
      <c r="Q1736" s="1575">
        <v>0</v>
      </c>
      <c r="R1736" s="1575"/>
      <c r="S1736" s="1575"/>
      <c r="T1736" s="1575"/>
      <c r="U1736" s="1575"/>
    </row>
    <row r="1737" spans="1:23" ht="19.149999999999999" customHeight="1">
      <c r="A1737" s="1574" t="s">
        <v>1322</v>
      </c>
      <c r="B1737" s="1574"/>
      <c r="C1737" s="1574" t="s">
        <v>2681</v>
      </c>
      <c r="D1737" s="1574"/>
      <c r="E1737" s="1574"/>
      <c r="F1737" s="1574" t="s">
        <v>2398</v>
      </c>
      <c r="G1737" s="1574"/>
      <c r="H1737" s="1574"/>
      <c r="I1737" s="1574"/>
      <c r="J1737" s="1412">
        <v>0</v>
      </c>
      <c r="K1737" s="1412">
        <v>0</v>
      </c>
      <c r="L1737" s="1412">
        <v>216.07</v>
      </c>
      <c r="M1737" s="1575">
        <v>216.07</v>
      </c>
      <c r="N1737" s="1575"/>
      <c r="O1737" s="1575">
        <v>0</v>
      </c>
      <c r="P1737" s="1575"/>
      <c r="Q1737" s="1575">
        <v>0</v>
      </c>
      <c r="R1737" s="1575"/>
      <c r="S1737" s="1575"/>
      <c r="T1737" s="1575"/>
      <c r="U1737" s="1575"/>
    </row>
    <row r="1738" spans="1:23" ht="19.149999999999999" customHeight="1">
      <c r="A1738" s="1574" t="s">
        <v>1322</v>
      </c>
      <c r="B1738" s="1574"/>
      <c r="C1738" s="1574" t="s">
        <v>2682</v>
      </c>
      <c r="D1738" s="1574"/>
      <c r="E1738" s="1574"/>
      <c r="F1738" s="1574" t="s">
        <v>2400</v>
      </c>
      <c r="G1738" s="1574"/>
      <c r="H1738" s="1574"/>
      <c r="I1738" s="1574"/>
      <c r="J1738" s="1412">
        <v>0</v>
      </c>
      <c r="K1738" s="1412">
        <v>0</v>
      </c>
      <c r="L1738" s="1412">
        <v>0</v>
      </c>
      <c r="M1738" s="1575">
        <v>0</v>
      </c>
      <c r="N1738" s="1575"/>
      <c r="O1738" s="1575">
        <v>0</v>
      </c>
      <c r="P1738" s="1575"/>
      <c r="Q1738" s="1575">
        <v>0</v>
      </c>
      <c r="R1738" s="1575"/>
      <c r="S1738" s="1575"/>
      <c r="T1738" s="1575"/>
      <c r="U1738" s="1575"/>
    </row>
    <row r="1739" spans="1:23" ht="19.149999999999999" customHeight="1">
      <c r="A1739" s="1574" t="s">
        <v>1322</v>
      </c>
      <c r="B1739" s="1574"/>
      <c r="C1739" s="1574" t="s">
        <v>2683</v>
      </c>
      <c r="D1739" s="1574"/>
      <c r="E1739" s="1574"/>
      <c r="F1739" s="1574" t="s">
        <v>2402</v>
      </c>
      <c r="G1739" s="1574"/>
      <c r="H1739" s="1574"/>
      <c r="I1739" s="1574"/>
      <c r="J1739" s="1412">
        <v>0</v>
      </c>
      <c r="K1739" s="1412">
        <v>0</v>
      </c>
      <c r="L1739" s="1412">
        <v>2688.6</v>
      </c>
      <c r="M1739" s="1575">
        <v>2688.6</v>
      </c>
      <c r="N1739" s="1575"/>
      <c r="O1739" s="1575">
        <v>0</v>
      </c>
      <c r="P1739" s="1575"/>
      <c r="Q1739" s="1575">
        <v>0</v>
      </c>
      <c r="R1739" s="1575"/>
      <c r="S1739" s="1575"/>
      <c r="T1739" s="1575"/>
      <c r="U1739" s="1575"/>
    </row>
    <row r="1740" spans="1:23" ht="19.149999999999999" customHeight="1">
      <c r="A1740" s="1574" t="s">
        <v>1322</v>
      </c>
      <c r="B1740" s="1574"/>
      <c r="C1740" s="1574" t="s">
        <v>3328</v>
      </c>
      <c r="D1740" s="1574"/>
      <c r="E1740" s="1574"/>
      <c r="F1740" s="1574" t="s">
        <v>2404</v>
      </c>
      <c r="G1740" s="1574"/>
      <c r="H1740" s="1574"/>
      <c r="I1740" s="1574"/>
      <c r="J1740" s="1412">
        <v>0</v>
      </c>
      <c r="K1740" s="1412">
        <v>0</v>
      </c>
      <c r="L1740" s="1412">
        <v>309570.68</v>
      </c>
      <c r="M1740" s="1575">
        <v>309570.68</v>
      </c>
      <c r="N1740" s="1575"/>
      <c r="O1740" s="1575">
        <v>0</v>
      </c>
      <c r="P1740" s="1575"/>
      <c r="Q1740" s="1575">
        <v>0</v>
      </c>
      <c r="R1740" s="1575"/>
      <c r="S1740" s="1575"/>
      <c r="T1740" s="1575"/>
      <c r="U1740" s="1575"/>
    </row>
    <row r="1741" spans="1:23" ht="19.149999999999999" customHeight="1">
      <c r="A1741" s="1574" t="s">
        <v>1322</v>
      </c>
      <c r="B1741" s="1574"/>
      <c r="C1741" s="1574" t="s">
        <v>3329</v>
      </c>
      <c r="D1741" s="1574"/>
      <c r="E1741" s="1574"/>
      <c r="F1741" s="1574" t="s">
        <v>2404</v>
      </c>
      <c r="G1741" s="1574"/>
      <c r="H1741" s="1574"/>
      <c r="I1741" s="1574"/>
      <c r="J1741" s="1412">
        <v>0</v>
      </c>
      <c r="K1741" s="1412">
        <v>0</v>
      </c>
      <c r="L1741" s="1412">
        <v>105454.58</v>
      </c>
      <c r="M1741" s="1575">
        <v>105454.58</v>
      </c>
      <c r="N1741" s="1575"/>
      <c r="O1741" s="1575">
        <v>0</v>
      </c>
      <c r="P1741" s="1575"/>
      <c r="Q1741" s="1575">
        <v>0</v>
      </c>
      <c r="R1741" s="1575"/>
      <c r="S1741" s="1575"/>
      <c r="T1741" s="1575"/>
      <c r="U1741" s="1575"/>
    </row>
    <row r="1742" spans="1:23" ht="19.149999999999999" customHeight="1">
      <c r="A1742" s="1574" t="s">
        <v>1322</v>
      </c>
      <c r="B1742" s="1574"/>
      <c r="C1742" s="1574" t="s">
        <v>3330</v>
      </c>
      <c r="D1742" s="1574"/>
      <c r="E1742" s="1574"/>
      <c r="F1742" s="1574" t="s">
        <v>2404</v>
      </c>
      <c r="G1742" s="1574"/>
      <c r="H1742" s="1574"/>
      <c r="I1742" s="1574"/>
      <c r="J1742" s="1412">
        <v>0</v>
      </c>
      <c r="K1742" s="1412">
        <v>0</v>
      </c>
      <c r="L1742" s="1412">
        <v>78500</v>
      </c>
      <c r="M1742" s="1575">
        <v>78500</v>
      </c>
      <c r="N1742" s="1575"/>
      <c r="O1742" s="1575">
        <v>0</v>
      </c>
      <c r="P1742" s="1575"/>
      <c r="Q1742" s="1575">
        <v>0</v>
      </c>
      <c r="R1742" s="1575"/>
      <c r="S1742" s="1575"/>
      <c r="T1742" s="1575"/>
      <c r="U1742" s="1575"/>
    </row>
    <row r="1743" spans="1:23" ht="19.149999999999999" customHeight="1">
      <c r="A1743" s="1574" t="s">
        <v>1322</v>
      </c>
      <c r="B1743" s="1574"/>
      <c r="C1743" s="1574" t="s">
        <v>6359</v>
      </c>
      <c r="D1743" s="1574"/>
      <c r="E1743" s="1574"/>
      <c r="F1743" s="1574" t="s">
        <v>2404</v>
      </c>
      <c r="G1743" s="1574"/>
      <c r="H1743" s="1574"/>
      <c r="I1743" s="1574"/>
      <c r="J1743" s="1412">
        <v>0</v>
      </c>
      <c r="K1743" s="1412">
        <v>0</v>
      </c>
      <c r="L1743" s="1412">
        <v>40000</v>
      </c>
      <c r="M1743" s="1575">
        <v>40000</v>
      </c>
      <c r="N1743" s="1575"/>
      <c r="O1743" s="1575">
        <v>0</v>
      </c>
      <c r="P1743" s="1575"/>
      <c r="Q1743" s="1575">
        <v>0</v>
      </c>
      <c r="R1743" s="1575"/>
      <c r="S1743" s="1575"/>
      <c r="T1743" s="1575"/>
      <c r="U1743" s="1575"/>
    </row>
    <row r="1744" spans="1:23" ht="19.149999999999999" customHeight="1">
      <c r="A1744" s="1574" t="s">
        <v>1322</v>
      </c>
      <c r="B1744" s="1574"/>
      <c r="C1744" s="1574" t="s">
        <v>2684</v>
      </c>
      <c r="D1744" s="1574"/>
      <c r="E1744" s="1574"/>
      <c r="F1744" s="1574" t="s">
        <v>2387</v>
      </c>
      <c r="G1744" s="1574"/>
      <c r="H1744" s="1574"/>
      <c r="I1744" s="1574"/>
      <c r="J1744" s="1412">
        <v>0</v>
      </c>
      <c r="K1744" s="1412">
        <v>0</v>
      </c>
      <c r="L1744" s="1412">
        <v>192586.2</v>
      </c>
      <c r="M1744" s="1575">
        <v>192586.2</v>
      </c>
      <c r="N1744" s="1575"/>
      <c r="O1744" s="1575">
        <v>0</v>
      </c>
      <c r="P1744" s="1575"/>
      <c r="Q1744" s="1575">
        <v>0</v>
      </c>
      <c r="R1744" s="1575"/>
      <c r="S1744" s="1575"/>
      <c r="T1744" s="1575"/>
      <c r="U1744" s="1575"/>
    </row>
    <row r="1745" spans="1:23" ht="19.149999999999999" customHeight="1">
      <c r="A1745" s="1574" t="s">
        <v>1322</v>
      </c>
      <c r="B1745" s="1574"/>
      <c r="C1745" s="1574" t="s">
        <v>6836</v>
      </c>
      <c r="D1745" s="1574"/>
      <c r="E1745" s="1574"/>
      <c r="F1745" s="1574" t="s">
        <v>2390</v>
      </c>
      <c r="G1745" s="1574"/>
      <c r="H1745" s="1574"/>
      <c r="I1745" s="1574"/>
      <c r="J1745" s="1412">
        <v>0</v>
      </c>
      <c r="K1745" s="1412">
        <v>0</v>
      </c>
      <c r="L1745" s="1412">
        <v>324828.71999999997</v>
      </c>
      <c r="M1745" s="1575">
        <v>324828.71999999997</v>
      </c>
      <c r="N1745" s="1575"/>
      <c r="O1745" s="1575">
        <v>0</v>
      </c>
      <c r="P1745" s="1575"/>
      <c r="Q1745" s="1575">
        <v>0</v>
      </c>
      <c r="R1745" s="1575"/>
      <c r="S1745" s="1575"/>
      <c r="T1745" s="1575"/>
      <c r="U1745" s="1575"/>
    </row>
    <row r="1746" spans="1:23" ht="19.149999999999999" customHeight="1">
      <c r="A1746" s="1574" t="s">
        <v>1322</v>
      </c>
      <c r="B1746" s="1574"/>
      <c r="C1746" s="1574" t="s">
        <v>6360</v>
      </c>
      <c r="D1746" s="1574"/>
      <c r="E1746" s="1574"/>
      <c r="F1746" s="1574" t="s">
        <v>2392</v>
      </c>
      <c r="G1746" s="1574"/>
      <c r="H1746" s="1574"/>
      <c r="I1746" s="1574"/>
      <c r="J1746" s="1412">
        <v>0</v>
      </c>
      <c r="K1746" s="1412">
        <v>0</v>
      </c>
      <c r="L1746" s="1412">
        <v>16048.86</v>
      </c>
      <c r="M1746" s="1575">
        <v>16048.86</v>
      </c>
      <c r="N1746" s="1575"/>
      <c r="O1746" s="1575">
        <v>0</v>
      </c>
      <c r="P1746" s="1575"/>
      <c r="Q1746" s="1575">
        <v>0</v>
      </c>
      <c r="R1746" s="1575"/>
      <c r="S1746" s="1575"/>
      <c r="T1746" s="1575"/>
      <c r="U1746" s="1575"/>
    </row>
    <row r="1747" spans="1:23" ht="19.149999999999999" customHeight="1">
      <c r="A1747" s="1574" t="s">
        <v>1322</v>
      </c>
      <c r="B1747" s="1574"/>
      <c r="C1747" s="1574" t="s">
        <v>2685</v>
      </c>
      <c r="D1747" s="1574"/>
      <c r="E1747" s="1574"/>
      <c r="F1747" s="1574" t="s">
        <v>2396</v>
      </c>
      <c r="G1747" s="1574"/>
      <c r="H1747" s="1574"/>
      <c r="I1747" s="1574"/>
      <c r="J1747" s="1412">
        <v>0</v>
      </c>
      <c r="K1747" s="1412">
        <v>0</v>
      </c>
      <c r="L1747" s="1412">
        <v>49109.52</v>
      </c>
      <c r="M1747" s="1575">
        <v>49109.52</v>
      </c>
      <c r="N1747" s="1575"/>
      <c r="O1747" s="1575">
        <v>0</v>
      </c>
      <c r="P1747" s="1575"/>
      <c r="Q1747" s="1575">
        <v>0</v>
      </c>
      <c r="R1747" s="1575"/>
      <c r="S1747" s="1575"/>
      <c r="T1747" s="1575"/>
      <c r="U1747" s="1575"/>
    </row>
    <row r="1748" spans="1:23" ht="19.149999999999999" customHeight="1">
      <c r="A1748" s="1574" t="s">
        <v>1322</v>
      </c>
      <c r="B1748" s="1574"/>
      <c r="C1748" s="1574" t="s">
        <v>2686</v>
      </c>
      <c r="D1748" s="1574"/>
      <c r="E1748" s="1574"/>
      <c r="F1748" s="1574" t="s">
        <v>2398</v>
      </c>
      <c r="G1748" s="1574"/>
      <c r="H1748" s="1574"/>
      <c r="I1748" s="1574"/>
      <c r="J1748" s="1412">
        <v>0</v>
      </c>
      <c r="K1748" s="1412">
        <v>0</v>
      </c>
      <c r="L1748" s="1412">
        <v>691.44</v>
      </c>
      <c r="M1748" s="1575">
        <v>691.44</v>
      </c>
      <c r="N1748" s="1575"/>
      <c r="O1748" s="1575">
        <v>0</v>
      </c>
      <c r="P1748" s="1575"/>
      <c r="Q1748" s="1575">
        <v>0</v>
      </c>
      <c r="R1748" s="1575"/>
      <c r="S1748" s="1575"/>
      <c r="T1748" s="1575"/>
      <c r="U1748" s="1575"/>
    </row>
    <row r="1749" spans="1:23" ht="19.149999999999999" customHeight="1">
      <c r="A1749" s="1574" t="s">
        <v>1322</v>
      </c>
      <c r="B1749" s="1574"/>
      <c r="C1749" s="1574" t="s">
        <v>2687</v>
      </c>
      <c r="D1749" s="1574"/>
      <c r="E1749" s="1574"/>
      <c r="F1749" s="1574" t="s">
        <v>2400</v>
      </c>
      <c r="G1749" s="1574"/>
      <c r="H1749" s="1574"/>
      <c r="I1749" s="1574"/>
      <c r="J1749" s="1412">
        <v>0</v>
      </c>
      <c r="K1749" s="1412">
        <v>0</v>
      </c>
      <c r="L1749" s="1412">
        <v>0</v>
      </c>
      <c r="M1749" s="1575">
        <v>0</v>
      </c>
      <c r="N1749" s="1575"/>
      <c r="O1749" s="1575">
        <v>0</v>
      </c>
      <c r="P1749" s="1575"/>
      <c r="Q1749" s="1575">
        <v>0</v>
      </c>
      <c r="R1749" s="1575"/>
      <c r="S1749" s="1575"/>
      <c r="T1749" s="1575"/>
      <c r="U1749" s="1575"/>
    </row>
    <row r="1750" spans="1:23" ht="19.149999999999999" customHeight="1">
      <c r="A1750" s="1574" t="s">
        <v>1322</v>
      </c>
      <c r="B1750" s="1574"/>
      <c r="C1750" s="1574" t="s">
        <v>2688</v>
      </c>
      <c r="D1750" s="1574"/>
      <c r="E1750" s="1574"/>
      <c r="F1750" s="1574" t="s">
        <v>2402</v>
      </c>
      <c r="G1750" s="1574"/>
      <c r="H1750" s="1574"/>
      <c r="I1750" s="1574"/>
      <c r="J1750" s="1412">
        <v>0</v>
      </c>
      <c r="K1750" s="1412">
        <v>0</v>
      </c>
      <c r="L1750" s="1412">
        <v>13443</v>
      </c>
      <c r="M1750" s="1575">
        <v>13443</v>
      </c>
      <c r="N1750" s="1575"/>
      <c r="O1750" s="1575">
        <v>0</v>
      </c>
      <c r="P1750" s="1575"/>
      <c r="Q1750" s="1575">
        <v>0</v>
      </c>
      <c r="R1750" s="1575"/>
      <c r="S1750" s="1575"/>
      <c r="T1750" s="1575"/>
      <c r="U1750" s="1575"/>
    </row>
    <row r="1751" spans="1:23" ht="19.149999999999999" customHeight="1">
      <c r="A1751" s="1574" t="s">
        <v>1322</v>
      </c>
      <c r="B1751" s="1574"/>
      <c r="C1751" s="1574" t="s">
        <v>2863</v>
      </c>
      <c r="D1751" s="1574"/>
      <c r="E1751" s="1574"/>
      <c r="F1751" s="1574" t="s">
        <v>2416</v>
      </c>
      <c r="G1751" s="1574"/>
      <c r="H1751" s="1574"/>
      <c r="I1751" s="1574"/>
      <c r="J1751" s="1412">
        <v>0</v>
      </c>
      <c r="K1751" s="1412">
        <v>0</v>
      </c>
      <c r="L1751" s="1412">
        <v>14945.12</v>
      </c>
      <c r="M1751" s="1575">
        <v>14945.12</v>
      </c>
      <c r="N1751" s="1575"/>
      <c r="O1751" s="1575">
        <v>0</v>
      </c>
      <c r="P1751" s="1575"/>
      <c r="Q1751" s="1575">
        <v>0</v>
      </c>
      <c r="R1751" s="1575"/>
      <c r="S1751" s="1575"/>
      <c r="T1751" s="1575"/>
      <c r="U1751" s="1575"/>
    </row>
    <row r="1752" spans="1:23" ht="19.149999999999999" customHeight="1">
      <c r="A1752" s="1574" t="s">
        <v>1322</v>
      </c>
      <c r="B1752" s="1574"/>
      <c r="C1752" s="1574" t="s">
        <v>2689</v>
      </c>
      <c r="D1752" s="1574"/>
      <c r="E1752" s="1574"/>
      <c r="F1752" s="1574" t="s">
        <v>2418</v>
      </c>
      <c r="G1752" s="1574"/>
      <c r="H1752" s="1574"/>
      <c r="I1752" s="1574"/>
      <c r="J1752" s="1412">
        <v>0</v>
      </c>
      <c r="K1752" s="1412">
        <v>0</v>
      </c>
      <c r="L1752" s="1412">
        <v>683469.02</v>
      </c>
      <c r="M1752" s="1575">
        <v>683469.02</v>
      </c>
      <c r="N1752" s="1575"/>
      <c r="O1752" s="1575">
        <v>0</v>
      </c>
      <c r="P1752" s="1575"/>
      <c r="Q1752" s="1575">
        <v>0</v>
      </c>
      <c r="R1752" s="1575"/>
      <c r="S1752" s="1575"/>
      <c r="T1752" s="1575"/>
      <c r="U1752" s="1575"/>
    </row>
    <row r="1753" spans="1:23" ht="19.149999999999999" customHeight="1">
      <c r="A1753" s="1574" t="s">
        <v>1322</v>
      </c>
      <c r="B1753" s="1574"/>
      <c r="C1753" s="1574" t="s">
        <v>2690</v>
      </c>
      <c r="D1753" s="1574"/>
      <c r="E1753" s="1574"/>
      <c r="F1753" s="1574" t="s">
        <v>2421</v>
      </c>
      <c r="G1753" s="1574"/>
      <c r="H1753" s="1574"/>
      <c r="I1753" s="1574"/>
      <c r="J1753" s="1412">
        <v>0</v>
      </c>
      <c r="K1753" s="1412">
        <v>0</v>
      </c>
      <c r="L1753" s="1412">
        <v>11675.65</v>
      </c>
      <c r="M1753" s="1575">
        <v>11675.65</v>
      </c>
      <c r="N1753" s="1575"/>
      <c r="O1753" s="1575">
        <v>0</v>
      </c>
      <c r="P1753" s="1575"/>
      <c r="Q1753" s="1575">
        <v>0</v>
      </c>
      <c r="R1753" s="1575"/>
      <c r="S1753" s="1575"/>
      <c r="T1753" s="1575"/>
      <c r="U1753" s="1575"/>
    </row>
    <row r="1754" spans="1:23" ht="19.149999999999999" customHeight="1">
      <c r="A1754" s="1574" t="s">
        <v>1322</v>
      </c>
      <c r="B1754" s="1574"/>
      <c r="C1754" s="1574" t="s">
        <v>2691</v>
      </c>
      <c r="D1754" s="1574"/>
      <c r="E1754" s="1574"/>
      <c r="F1754" s="1574" t="s">
        <v>2423</v>
      </c>
      <c r="G1754" s="1574"/>
      <c r="H1754" s="1574"/>
      <c r="I1754" s="1574"/>
      <c r="J1754" s="1412">
        <v>0</v>
      </c>
      <c r="K1754" s="1412">
        <v>0</v>
      </c>
      <c r="L1754" s="1412">
        <v>612855.88</v>
      </c>
      <c r="M1754" s="1575">
        <v>612855.88</v>
      </c>
      <c r="N1754" s="1575"/>
      <c r="O1754" s="1575">
        <v>0</v>
      </c>
      <c r="P1754" s="1575"/>
      <c r="Q1754" s="1575">
        <v>0</v>
      </c>
      <c r="R1754" s="1575"/>
      <c r="S1754" s="1575"/>
      <c r="T1754" s="1575"/>
      <c r="U1754" s="1575"/>
    </row>
    <row r="1755" spans="1:23" ht="19.149999999999999" customHeight="1">
      <c r="A1755" s="1574" t="s">
        <v>1322</v>
      </c>
      <c r="B1755" s="1574"/>
      <c r="C1755" s="1574" t="s">
        <v>5830</v>
      </c>
      <c r="D1755" s="1574"/>
      <c r="E1755" s="1574"/>
      <c r="F1755" s="1574" t="s">
        <v>2416</v>
      </c>
      <c r="G1755" s="1574"/>
      <c r="H1755" s="1574"/>
      <c r="I1755" s="1574"/>
      <c r="J1755" s="1412">
        <v>0</v>
      </c>
      <c r="K1755" s="1412">
        <v>0</v>
      </c>
      <c r="L1755" s="1412">
        <v>14800</v>
      </c>
      <c r="M1755" s="1575">
        <v>14800</v>
      </c>
      <c r="N1755" s="1575"/>
      <c r="O1755" s="1575">
        <v>0</v>
      </c>
      <c r="P1755" s="1575"/>
      <c r="Q1755" s="1575">
        <v>0</v>
      </c>
      <c r="R1755" s="1575"/>
      <c r="S1755" s="1575"/>
      <c r="T1755" s="1575"/>
      <c r="U1755" s="1575"/>
    </row>
    <row r="1756" spans="1:23" ht="19.149999999999999" customHeight="1">
      <c r="A1756" s="1574" t="s">
        <v>1322</v>
      </c>
      <c r="B1756" s="1574"/>
      <c r="C1756" s="1574" t="s">
        <v>2692</v>
      </c>
      <c r="D1756" s="1574"/>
      <c r="E1756" s="1574"/>
      <c r="F1756" s="1574" t="s">
        <v>2418</v>
      </c>
      <c r="G1756" s="1574"/>
      <c r="H1756" s="1574"/>
      <c r="I1756" s="1574"/>
      <c r="J1756" s="1412">
        <v>0</v>
      </c>
      <c r="K1756" s="1412">
        <v>0</v>
      </c>
      <c r="L1756" s="1412">
        <v>250888.94</v>
      </c>
      <c r="M1756" s="1575">
        <v>250888.94</v>
      </c>
      <c r="N1756" s="1575"/>
      <c r="O1756" s="1575">
        <v>0</v>
      </c>
      <c r="P1756" s="1575"/>
      <c r="Q1756" s="1575">
        <v>0</v>
      </c>
      <c r="R1756" s="1575"/>
      <c r="S1756" s="1575"/>
      <c r="T1756" s="1575"/>
      <c r="U1756" s="1575"/>
    </row>
    <row r="1757" spans="1:23" ht="19.149999999999999" customHeight="1">
      <c r="A1757" s="1574" t="s">
        <v>1322</v>
      </c>
      <c r="B1757" s="1574"/>
      <c r="C1757" s="1574" t="s">
        <v>5831</v>
      </c>
      <c r="D1757" s="1574"/>
      <c r="E1757" s="1574"/>
      <c r="F1757" s="1574" t="s">
        <v>2423</v>
      </c>
      <c r="G1757" s="1574"/>
      <c r="H1757" s="1574"/>
      <c r="I1757" s="1574"/>
      <c r="J1757" s="1412">
        <v>0</v>
      </c>
      <c r="K1757" s="1412">
        <v>0</v>
      </c>
      <c r="L1757" s="1412">
        <v>316981.88</v>
      </c>
      <c r="M1757" s="1575">
        <v>316981.88</v>
      </c>
      <c r="N1757" s="1575"/>
      <c r="O1757" s="1575">
        <v>0</v>
      </c>
      <c r="P1757" s="1575"/>
      <c r="Q1757" s="1575">
        <v>0</v>
      </c>
      <c r="R1757" s="1575"/>
      <c r="S1757" s="1575"/>
      <c r="T1757" s="1575"/>
      <c r="U1757" s="1575"/>
    </row>
    <row r="1758" spans="1:23" ht="19.149999999999999" customHeight="1">
      <c r="A1758" s="1574" t="s">
        <v>1322</v>
      </c>
      <c r="B1758" s="1574"/>
      <c r="C1758" s="1574" t="s">
        <v>5832</v>
      </c>
      <c r="D1758" s="1574"/>
      <c r="E1758" s="1574"/>
      <c r="F1758" s="1574" t="s">
        <v>2416</v>
      </c>
      <c r="G1758" s="1574"/>
      <c r="H1758" s="1574"/>
      <c r="I1758" s="1574"/>
      <c r="J1758" s="1412">
        <v>0</v>
      </c>
      <c r="K1758" s="1412">
        <v>0</v>
      </c>
      <c r="L1758" s="1412">
        <v>4400</v>
      </c>
      <c r="M1758" s="1575">
        <v>4400</v>
      </c>
      <c r="N1758" s="1575"/>
      <c r="O1758" s="1575">
        <v>0</v>
      </c>
      <c r="P1758" s="1575"/>
      <c r="Q1758" s="1575">
        <v>0</v>
      </c>
      <c r="R1758" s="1575"/>
      <c r="S1758" s="1575"/>
      <c r="T1758" s="1575"/>
      <c r="U1758" s="1575"/>
    </row>
    <row r="1759" spans="1:23" ht="6.95" customHeight="1"/>
    <row r="1760" spans="1:23" ht="14.1" customHeight="1">
      <c r="S1760" s="1573" t="s">
        <v>6564</v>
      </c>
      <c r="T1760" s="1573"/>
      <c r="U1760" s="1573"/>
      <c r="V1760" s="1573"/>
      <c r="W1760" s="1573"/>
    </row>
    <row r="1761" spans="1:23" ht="7.15" customHeight="1">
      <c r="C1761" s="1586" t="s">
        <v>2987</v>
      </c>
      <c r="D1761" s="1586"/>
      <c r="E1761" s="1586"/>
      <c r="F1761" s="1586"/>
      <c r="G1761" s="1586"/>
      <c r="H1761" s="1586"/>
      <c r="I1761" s="1586"/>
      <c r="J1761" s="1586"/>
      <c r="K1761" s="1586"/>
      <c r="L1761" s="1586"/>
      <c r="M1761" s="1586"/>
      <c r="N1761" s="1586"/>
      <c r="O1761" s="1586"/>
      <c r="P1761" s="1586"/>
      <c r="Q1761" s="1586"/>
      <c r="R1761" s="1586"/>
      <c r="S1761" s="1586"/>
      <c r="T1761" s="1586"/>
    </row>
    <row r="1762" spans="1:23" ht="9.6" customHeight="1">
      <c r="A1762" s="1587"/>
      <c r="B1762" s="1587"/>
      <c r="C1762" s="1587"/>
      <c r="D1762" s="1587"/>
      <c r="E1762" s="1587"/>
      <c r="F1762" s="1587"/>
      <c r="G1762" s="1586"/>
      <c r="H1762" s="1586"/>
      <c r="I1762" s="1586"/>
      <c r="J1762" s="1586"/>
      <c r="K1762" s="1586"/>
      <c r="L1762" s="1586"/>
      <c r="M1762" s="1586"/>
      <c r="N1762" s="1586"/>
      <c r="O1762" s="1586"/>
      <c r="P1762" s="1586"/>
      <c r="Q1762" s="1586"/>
      <c r="R1762" s="1586"/>
      <c r="S1762" s="1586"/>
      <c r="T1762" s="1586"/>
    </row>
    <row r="1763" spans="1:23" ht="13.35" customHeight="1">
      <c r="A1763" s="1587"/>
      <c r="B1763" s="1587"/>
      <c r="C1763" s="1587"/>
      <c r="D1763" s="1587"/>
      <c r="E1763" s="1587"/>
      <c r="F1763" s="1587"/>
      <c r="G1763" s="1588" t="s">
        <v>79</v>
      </c>
      <c r="H1763" s="1588"/>
      <c r="I1763" s="1588"/>
      <c r="J1763" s="1588"/>
      <c r="K1763" s="1588"/>
      <c r="L1763" s="1588"/>
      <c r="M1763" s="1588"/>
      <c r="N1763" s="1588"/>
      <c r="O1763" s="1588"/>
      <c r="P1763" s="1588"/>
      <c r="Q1763" s="1588"/>
      <c r="R1763" s="1588"/>
    </row>
    <row r="1764" spans="1:23" ht="5.25" customHeight="1">
      <c r="A1764" s="1587"/>
      <c r="B1764" s="1587"/>
      <c r="C1764" s="1587"/>
      <c r="D1764" s="1587"/>
      <c r="E1764" s="1587"/>
      <c r="F1764" s="1587"/>
      <c r="G1764" s="1581" t="s">
        <v>7015</v>
      </c>
      <c r="H1764" s="1581"/>
      <c r="I1764" s="1581"/>
      <c r="J1764" s="1581"/>
      <c r="K1764" s="1581"/>
      <c r="L1764" s="1581"/>
      <c r="M1764" s="1581"/>
      <c r="N1764" s="1581"/>
      <c r="O1764" s="1581"/>
      <c r="P1764" s="1581"/>
      <c r="Q1764" s="1581"/>
    </row>
    <row r="1765" spans="1:23" ht="8.1" customHeight="1">
      <c r="B1765" s="1580" t="s">
        <v>1916</v>
      </c>
      <c r="C1765" s="1580"/>
      <c r="D1765" s="1580"/>
      <c r="E1765" s="1580"/>
      <c r="F1765" s="1580"/>
      <c r="G1765" s="1580"/>
      <c r="H1765" s="1581"/>
      <c r="I1765" s="1581"/>
      <c r="J1765" s="1581"/>
      <c r="K1765" s="1581"/>
      <c r="L1765" s="1581"/>
      <c r="M1765" s="1581"/>
      <c r="N1765" s="1582" t="s">
        <v>5619</v>
      </c>
      <c r="O1765" s="1582"/>
      <c r="P1765" s="1582"/>
      <c r="Q1765" s="1582"/>
      <c r="R1765" s="1582"/>
      <c r="S1765" s="1582"/>
      <c r="T1765" s="1583" t="s">
        <v>7016</v>
      </c>
      <c r="U1765" s="1583"/>
      <c r="V1765" s="1583"/>
      <c r="W1765" s="1583"/>
    </row>
    <row r="1766" spans="1:23" ht="6" customHeight="1">
      <c r="B1766" s="1580"/>
      <c r="C1766" s="1580"/>
      <c r="D1766" s="1580"/>
      <c r="E1766" s="1580"/>
      <c r="F1766" s="1580"/>
      <c r="G1766" s="1580"/>
      <c r="H1766" s="1584" t="s">
        <v>7017</v>
      </c>
      <c r="I1766" s="1584"/>
      <c r="J1766" s="1584"/>
      <c r="K1766" s="1584"/>
      <c r="L1766" s="1584"/>
      <c r="M1766" s="1584"/>
      <c r="N1766" s="1582"/>
      <c r="O1766" s="1582"/>
      <c r="P1766" s="1582"/>
      <c r="Q1766" s="1582"/>
      <c r="R1766" s="1582"/>
      <c r="S1766" s="1582"/>
      <c r="T1766" s="1583"/>
      <c r="U1766" s="1583"/>
      <c r="V1766" s="1583"/>
      <c r="W1766" s="1583"/>
    </row>
    <row r="1767" spans="1:23" ht="7.35" customHeight="1">
      <c r="B1767" s="1580" t="s">
        <v>1994</v>
      </c>
      <c r="C1767" s="1580"/>
      <c r="D1767" s="1580"/>
      <c r="E1767" s="1585"/>
      <c r="F1767" s="1585"/>
      <c r="G1767" s="1585"/>
      <c r="H1767" s="1585"/>
      <c r="I1767" s="1585"/>
      <c r="J1767" s="1585"/>
      <c r="K1767" s="1585"/>
      <c r="L1767" s="1585"/>
      <c r="M1767" s="1585"/>
      <c r="N1767" s="1585"/>
      <c r="O1767" s="1585"/>
      <c r="P1767" s="1585"/>
      <c r="Q1767" s="1585"/>
      <c r="R1767" s="1582"/>
      <c r="S1767" s="1582"/>
      <c r="T1767" s="1582" t="s">
        <v>7018</v>
      </c>
      <c r="U1767" s="1582"/>
    </row>
    <row r="1768" spans="1:23" ht="6.75" customHeight="1">
      <c r="E1768" s="1585"/>
      <c r="F1768" s="1585"/>
      <c r="G1768" s="1585"/>
      <c r="H1768" s="1585"/>
      <c r="I1768" s="1585"/>
      <c r="J1768" s="1585"/>
      <c r="K1768" s="1585"/>
      <c r="L1768" s="1585"/>
      <c r="M1768" s="1585"/>
      <c r="N1768" s="1585"/>
      <c r="O1768" s="1585"/>
      <c r="P1768" s="1585"/>
      <c r="Q1768" s="1585"/>
      <c r="R1768" s="1582"/>
      <c r="S1768" s="1582"/>
      <c r="T1768" s="1582"/>
      <c r="U1768" s="1582"/>
    </row>
    <row r="1769" spans="1:23" ht="10.9" customHeight="1">
      <c r="A1769" s="1576"/>
      <c r="B1769" s="1576"/>
      <c r="C1769" s="1576"/>
      <c r="D1769" s="1576"/>
      <c r="E1769" s="1576"/>
      <c r="F1769" s="1576"/>
      <c r="G1769" s="1576"/>
      <c r="H1769" s="1576"/>
      <c r="I1769" s="1576"/>
      <c r="J1769" s="1577" t="s">
        <v>1314</v>
      </c>
      <c r="K1769" s="1577"/>
      <c r="L1769" s="1577" t="s">
        <v>1315</v>
      </c>
      <c r="M1769" s="1577"/>
      <c r="N1769" s="1577"/>
      <c r="O1769" s="1577" t="s">
        <v>1316</v>
      </c>
      <c r="P1769" s="1577"/>
      <c r="Q1769" s="1577"/>
      <c r="R1769" s="1577"/>
      <c r="S1769" s="1577"/>
      <c r="T1769" s="1577"/>
      <c r="U1769" s="1577"/>
    </row>
    <row r="1770" spans="1:23" ht="14.1" customHeight="1">
      <c r="A1770" s="1578" t="s">
        <v>1317</v>
      </c>
      <c r="B1770" s="1578"/>
      <c r="C1770" s="1578" t="s">
        <v>1318</v>
      </c>
      <c r="D1770" s="1578"/>
      <c r="E1770" s="1578"/>
      <c r="F1770" s="1578" t="s">
        <v>1319</v>
      </c>
      <c r="G1770" s="1578"/>
      <c r="H1770" s="1578"/>
      <c r="I1770" s="1578"/>
      <c r="J1770" s="1413" t="s">
        <v>1320</v>
      </c>
      <c r="K1770" s="1413" t="s">
        <v>1321</v>
      </c>
      <c r="L1770" s="1413" t="s">
        <v>1320</v>
      </c>
      <c r="M1770" s="1579" t="s">
        <v>1321</v>
      </c>
      <c r="N1770" s="1579"/>
      <c r="O1770" s="1579" t="s">
        <v>1320</v>
      </c>
      <c r="P1770" s="1579"/>
      <c r="Q1770" s="1579" t="s">
        <v>1321</v>
      </c>
      <c r="R1770" s="1579"/>
      <c r="S1770" s="1579"/>
      <c r="T1770" s="1579"/>
      <c r="U1770" s="1579"/>
    </row>
    <row r="1771" spans="1:23" ht="22.5" customHeight="1">
      <c r="A1771" s="1574" t="s">
        <v>1322</v>
      </c>
      <c r="B1771" s="1574"/>
      <c r="C1771" s="1574" t="s">
        <v>2693</v>
      </c>
      <c r="D1771" s="1574"/>
      <c r="E1771" s="1574"/>
      <c r="F1771" s="1574" t="s">
        <v>2418</v>
      </c>
      <c r="G1771" s="1574"/>
      <c r="H1771" s="1574"/>
      <c r="I1771" s="1574"/>
      <c r="J1771" s="1412">
        <v>0</v>
      </c>
      <c r="K1771" s="1412">
        <v>0</v>
      </c>
      <c r="L1771" s="1412">
        <v>29577.66</v>
      </c>
      <c r="M1771" s="1575">
        <v>29577.66</v>
      </c>
      <c r="N1771" s="1575"/>
      <c r="O1771" s="1575">
        <v>0</v>
      </c>
      <c r="P1771" s="1575"/>
      <c r="Q1771" s="1575">
        <v>0</v>
      </c>
      <c r="R1771" s="1575"/>
      <c r="S1771" s="1575"/>
      <c r="T1771" s="1575"/>
      <c r="U1771" s="1575"/>
    </row>
    <row r="1772" spans="1:23" ht="19.149999999999999" customHeight="1">
      <c r="A1772" s="1574" t="s">
        <v>1322</v>
      </c>
      <c r="B1772" s="1574"/>
      <c r="C1772" s="1574" t="s">
        <v>2694</v>
      </c>
      <c r="D1772" s="1574"/>
      <c r="E1772" s="1574"/>
      <c r="F1772" s="1574" t="s">
        <v>2423</v>
      </c>
      <c r="G1772" s="1574"/>
      <c r="H1772" s="1574"/>
      <c r="I1772" s="1574"/>
      <c r="J1772" s="1412">
        <v>0</v>
      </c>
      <c r="K1772" s="1412">
        <v>0</v>
      </c>
      <c r="L1772" s="1412">
        <v>82310.929999999993</v>
      </c>
      <c r="M1772" s="1575">
        <v>82310.929999999993</v>
      </c>
      <c r="N1772" s="1575"/>
      <c r="O1772" s="1575">
        <v>0</v>
      </c>
      <c r="P1772" s="1575"/>
      <c r="Q1772" s="1575">
        <v>0</v>
      </c>
      <c r="R1772" s="1575"/>
      <c r="S1772" s="1575"/>
      <c r="T1772" s="1575"/>
      <c r="U1772" s="1575"/>
    </row>
    <row r="1773" spans="1:23" ht="19.149999999999999" customHeight="1">
      <c r="A1773" s="1574" t="s">
        <v>1322</v>
      </c>
      <c r="B1773" s="1574"/>
      <c r="C1773" s="1574" t="s">
        <v>5833</v>
      </c>
      <c r="D1773" s="1574"/>
      <c r="E1773" s="1574"/>
      <c r="F1773" s="1574" t="s">
        <v>2416</v>
      </c>
      <c r="G1773" s="1574"/>
      <c r="H1773" s="1574"/>
      <c r="I1773" s="1574"/>
      <c r="J1773" s="1412">
        <v>0</v>
      </c>
      <c r="K1773" s="1412">
        <v>0</v>
      </c>
      <c r="L1773" s="1412">
        <v>3200</v>
      </c>
      <c r="M1773" s="1575">
        <v>3200</v>
      </c>
      <c r="N1773" s="1575"/>
      <c r="O1773" s="1575">
        <v>0</v>
      </c>
      <c r="P1773" s="1575"/>
      <c r="Q1773" s="1575">
        <v>0</v>
      </c>
      <c r="R1773" s="1575"/>
      <c r="S1773" s="1575"/>
      <c r="T1773" s="1575"/>
      <c r="U1773" s="1575"/>
    </row>
    <row r="1774" spans="1:23" ht="19.149999999999999" customHeight="1">
      <c r="A1774" s="1574" t="s">
        <v>1322</v>
      </c>
      <c r="B1774" s="1574"/>
      <c r="C1774" s="1574" t="s">
        <v>2695</v>
      </c>
      <c r="D1774" s="1574"/>
      <c r="E1774" s="1574"/>
      <c r="F1774" s="1574" t="s">
        <v>2418</v>
      </c>
      <c r="G1774" s="1574"/>
      <c r="H1774" s="1574"/>
      <c r="I1774" s="1574"/>
      <c r="J1774" s="1412">
        <v>0</v>
      </c>
      <c r="K1774" s="1412">
        <v>0</v>
      </c>
      <c r="L1774" s="1412">
        <v>16006.02</v>
      </c>
      <c r="M1774" s="1575">
        <v>16006.02</v>
      </c>
      <c r="N1774" s="1575"/>
      <c r="O1774" s="1575">
        <v>0</v>
      </c>
      <c r="P1774" s="1575"/>
      <c r="Q1774" s="1575">
        <v>0</v>
      </c>
      <c r="R1774" s="1575"/>
      <c r="S1774" s="1575"/>
      <c r="T1774" s="1575"/>
      <c r="U1774" s="1575"/>
    </row>
    <row r="1775" spans="1:23" ht="19.149999999999999" customHeight="1">
      <c r="A1775" s="1574" t="s">
        <v>1322</v>
      </c>
      <c r="B1775" s="1574"/>
      <c r="C1775" s="1574" t="s">
        <v>5834</v>
      </c>
      <c r="D1775" s="1574"/>
      <c r="E1775" s="1574"/>
      <c r="F1775" s="1574" t="s">
        <v>2423</v>
      </c>
      <c r="G1775" s="1574"/>
      <c r="H1775" s="1574"/>
      <c r="I1775" s="1574"/>
      <c r="J1775" s="1412">
        <v>0</v>
      </c>
      <c r="K1775" s="1412">
        <v>0</v>
      </c>
      <c r="L1775" s="1412">
        <v>60252.33</v>
      </c>
      <c r="M1775" s="1575">
        <v>60252.33</v>
      </c>
      <c r="N1775" s="1575"/>
      <c r="O1775" s="1575">
        <v>0</v>
      </c>
      <c r="P1775" s="1575"/>
      <c r="Q1775" s="1575">
        <v>0</v>
      </c>
      <c r="R1775" s="1575"/>
      <c r="S1775" s="1575"/>
      <c r="T1775" s="1575"/>
      <c r="U1775" s="1575"/>
    </row>
    <row r="1776" spans="1:23" ht="19.149999999999999" customHeight="1">
      <c r="A1776" s="1574" t="s">
        <v>1322</v>
      </c>
      <c r="B1776" s="1574"/>
      <c r="C1776" s="1574" t="s">
        <v>5835</v>
      </c>
      <c r="D1776" s="1574"/>
      <c r="E1776" s="1574"/>
      <c r="F1776" s="1574" t="s">
        <v>2416</v>
      </c>
      <c r="G1776" s="1574"/>
      <c r="H1776" s="1574"/>
      <c r="I1776" s="1574"/>
      <c r="J1776" s="1412">
        <v>0</v>
      </c>
      <c r="K1776" s="1412">
        <v>0</v>
      </c>
      <c r="L1776" s="1412">
        <v>7600</v>
      </c>
      <c r="M1776" s="1575">
        <v>7600</v>
      </c>
      <c r="N1776" s="1575"/>
      <c r="O1776" s="1575">
        <v>0</v>
      </c>
      <c r="P1776" s="1575"/>
      <c r="Q1776" s="1575">
        <v>0</v>
      </c>
      <c r="R1776" s="1575"/>
      <c r="S1776" s="1575"/>
      <c r="T1776" s="1575"/>
      <c r="U1776" s="1575"/>
    </row>
    <row r="1777" spans="1:21" ht="19.149999999999999" customHeight="1">
      <c r="A1777" s="1574" t="s">
        <v>1322</v>
      </c>
      <c r="B1777" s="1574"/>
      <c r="C1777" s="1574" t="s">
        <v>2696</v>
      </c>
      <c r="D1777" s="1574"/>
      <c r="E1777" s="1574"/>
      <c r="F1777" s="1574" t="s">
        <v>2418</v>
      </c>
      <c r="G1777" s="1574"/>
      <c r="H1777" s="1574"/>
      <c r="I1777" s="1574"/>
      <c r="J1777" s="1412">
        <v>0</v>
      </c>
      <c r="K1777" s="1412">
        <v>0</v>
      </c>
      <c r="L1777" s="1412">
        <v>40913.08</v>
      </c>
      <c r="M1777" s="1575">
        <v>40913.08</v>
      </c>
      <c r="N1777" s="1575"/>
      <c r="O1777" s="1575">
        <v>0</v>
      </c>
      <c r="P1777" s="1575"/>
      <c r="Q1777" s="1575">
        <v>0</v>
      </c>
      <c r="R1777" s="1575"/>
      <c r="S1777" s="1575"/>
      <c r="T1777" s="1575"/>
      <c r="U1777" s="1575"/>
    </row>
    <row r="1778" spans="1:21" ht="19.149999999999999" customHeight="1">
      <c r="A1778" s="1574" t="s">
        <v>1322</v>
      </c>
      <c r="B1778" s="1574"/>
      <c r="C1778" s="1574" t="s">
        <v>2697</v>
      </c>
      <c r="D1778" s="1574"/>
      <c r="E1778" s="1574"/>
      <c r="F1778" s="1574" t="s">
        <v>2423</v>
      </c>
      <c r="G1778" s="1574"/>
      <c r="H1778" s="1574"/>
      <c r="I1778" s="1574"/>
      <c r="J1778" s="1412">
        <v>0</v>
      </c>
      <c r="K1778" s="1412">
        <v>0</v>
      </c>
      <c r="L1778" s="1412">
        <v>58945.94</v>
      </c>
      <c r="M1778" s="1575">
        <v>58945.94</v>
      </c>
      <c r="N1778" s="1575"/>
      <c r="O1778" s="1575">
        <v>0</v>
      </c>
      <c r="P1778" s="1575"/>
      <c r="Q1778" s="1575">
        <v>0</v>
      </c>
      <c r="R1778" s="1575"/>
      <c r="S1778" s="1575"/>
      <c r="T1778" s="1575"/>
      <c r="U1778" s="1575"/>
    </row>
    <row r="1779" spans="1:21" ht="19.149999999999999" customHeight="1">
      <c r="A1779" s="1574" t="s">
        <v>1322</v>
      </c>
      <c r="B1779" s="1574"/>
      <c r="C1779" s="1574" t="s">
        <v>6675</v>
      </c>
      <c r="D1779" s="1574"/>
      <c r="E1779" s="1574"/>
      <c r="F1779" s="1574" t="s">
        <v>2443</v>
      </c>
      <c r="G1779" s="1574"/>
      <c r="H1779" s="1574"/>
      <c r="I1779" s="1574"/>
      <c r="J1779" s="1412">
        <v>0</v>
      </c>
      <c r="K1779" s="1412">
        <v>0</v>
      </c>
      <c r="L1779" s="1412">
        <v>0</v>
      </c>
      <c r="M1779" s="1575">
        <v>0</v>
      </c>
      <c r="N1779" s="1575"/>
      <c r="O1779" s="1575">
        <v>0</v>
      </c>
      <c r="P1779" s="1575"/>
      <c r="Q1779" s="1575">
        <v>0</v>
      </c>
      <c r="R1779" s="1575"/>
      <c r="S1779" s="1575"/>
      <c r="T1779" s="1575"/>
      <c r="U1779" s="1575"/>
    </row>
    <row r="1780" spans="1:21" ht="19.149999999999999" customHeight="1">
      <c r="A1780" s="1574" t="s">
        <v>1322</v>
      </c>
      <c r="B1780" s="1574"/>
      <c r="C1780" s="1574" t="s">
        <v>6361</v>
      </c>
      <c r="D1780" s="1574"/>
      <c r="E1780" s="1574"/>
      <c r="F1780" s="1574" t="s">
        <v>2421</v>
      </c>
      <c r="G1780" s="1574"/>
      <c r="H1780" s="1574"/>
      <c r="I1780" s="1574"/>
      <c r="J1780" s="1412">
        <v>0</v>
      </c>
      <c r="K1780" s="1412">
        <v>0</v>
      </c>
      <c r="L1780" s="1412">
        <v>9453.2199999999993</v>
      </c>
      <c r="M1780" s="1575">
        <v>9453.2199999999993</v>
      </c>
      <c r="N1780" s="1575"/>
      <c r="O1780" s="1575">
        <v>0</v>
      </c>
      <c r="P1780" s="1575"/>
      <c r="Q1780" s="1575">
        <v>0</v>
      </c>
      <c r="R1780" s="1575"/>
      <c r="S1780" s="1575"/>
      <c r="T1780" s="1575"/>
      <c r="U1780" s="1575"/>
    </row>
    <row r="1781" spans="1:21" ht="19.149999999999999" customHeight="1">
      <c r="A1781" s="1574" t="s">
        <v>1322</v>
      </c>
      <c r="B1781" s="1574"/>
      <c r="C1781" s="1574" t="s">
        <v>6362</v>
      </c>
      <c r="D1781" s="1574"/>
      <c r="E1781" s="1574"/>
      <c r="F1781" s="1574" t="s">
        <v>2423</v>
      </c>
      <c r="G1781" s="1574"/>
      <c r="H1781" s="1574"/>
      <c r="I1781" s="1574"/>
      <c r="J1781" s="1412">
        <v>0</v>
      </c>
      <c r="K1781" s="1412">
        <v>0</v>
      </c>
      <c r="L1781" s="1412">
        <v>0</v>
      </c>
      <c r="M1781" s="1575">
        <v>0</v>
      </c>
      <c r="N1781" s="1575"/>
      <c r="O1781" s="1575">
        <v>0</v>
      </c>
      <c r="P1781" s="1575"/>
      <c r="Q1781" s="1575">
        <v>0</v>
      </c>
      <c r="R1781" s="1575"/>
      <c r="S1781" s="1575"/>
      <c r="T1781" s="1575"/>
      <c r="U1781" s="1575"/>
    </row>
    <row r="1782" spans="1:21" ht="19.149999999999999" customHeight="1">
      <c r="A1782" s="1574" t="s">
        <v>1322</v>
      </c>
      <c r="B1782" s="1574"/>
      <c r="C1782" s="1574" t="s">
        <v>7066</v>
      </c>
      <c r="D1782" s="1574"/>
      <c r="E1782" s="1574"/>
      <c r="F1782" s="1574" t="s">
        <v>2500</v>
      </c>
      <c r="G1782" s="1574"/>
      <c r="H1782" s="1574"/>
      <c r="I1782" s="1574"/>
      <c r="J1782" s="1412">
        <v>0</v>
      </c>
      <c r="K1782" s="1412">
        <v>0</v>
      </c>
      <c r="L1782" s="1412">
        <v>15358.57</v>
      </c>
      <c r="M1782" s="1575">
        <v>15358.57</v>
      </c>
      <c r="N1782" s="1575"/>
      <c r="O1782" s="1575">
        <v>0</v>
      </c>
      <c r="P1782" s="1575"/>
      <c r="Q1782" s="1575">
        <v>0</v>
      </c>
      <c r="R1782" s="1575"/>
      <c r="S1782" s="1575"/>
      <c r="T1782" s="1575"/>
      <c r="U1782" s="1575"/>
    </row>
    <row r="1783" spans="1:21" ht="19.149999999999999" customHeight="1">
      <c r="A1783" s="1574" t="s">
        <v>1322</v>
      </c>
      <c r="B1783" s="1574"/>
      <c r="C1783" s="1574" t="s">
        <v>2698</v>
      </c>
      <c r="D1783" s="1574"/>
      <c r="E1783" s="1574"/>
      <c r="F1783" s="1574" t="s">
        <v>2387</v>
      </c>
      <c r="G1783" s="1574"/>
      <c r="H1783" s="1574"/>
      <c r="I1783" s="1574"/>
      <c r="J1783" s="1412">
        <v>0</v>
      </c>
      <c r="K1783" s="1412">
        <v>0</v>
      </c>
      <c r="L1783" s="1412">
        <v>44262.3</v>
      </c>
      <c r="M1783" s="1575">
        <v>44262.3</v>
      </c>
      <c r="N1783" s="1575"/>
      <c r="O1783" s="1575">
        <v>0</v>
      </c>
      <c r="P1783" s="1575"/>
      <c r="Q1783" s="1575">
        <v>0</v>
      </c>
      <c r="R1783" s="1575"/>
      <c r="S1783" s="1575"/>
      <c r="T1783" s="1575"/>
      <c r="U1783" s="1575"/>
    </row>
    <row r="1784" spans="1:21" ht="19.149999999999999" customHeight="1">
      <c r="A1784" s="1574" t="s">
        <v>1322</v>
      </c>
      <c r="B1784" s="1574"/>
      <c r="C1784" s="1574" t="s">
        <v>6676</v>
      </c>
      <c r="D1784" s="1574"/>
      <c r="E1784" s="1574"/>
      <c r="F1784" s="1574" t="s">
        <v>2390</v>
      </c>
      <c r="G1784" s="1574"/>
      <c r="H1784" s="1574"/>
      <c r="I1784" s="1574"/>
      <c r="J1784" s="1412">
        <v>0</v>
      </c>
      <c r="K1784" s="1412">
        <v>0</v>
      </c>
      <c r="L1784" s="1412">
        <v>74655.740000000005</v>
      </c>
      <c r="M1784" s="1575">
        <v>74655.740000000005</v>
      </c>
      <c r="N1784" s="1575"/>
      <c r="O1784" s="1575">
        <v>0</v>
      </c>
      <c r="P1784" s="1575"/>
      <c r="Q1784" s="1575">
        <v>0</v>
      </c>
      <c r="R1784" s="1575"/>
      <c r="S1784" s="1575"/>
      <c r="T1784" s="1575"/>
      <c r="U1784" s="1575"/>
    </row>
    <row r="1785" spans="1:21" ht="19.149999999999999" customHeight="1">
      <c r="A1785" s="1574" t="s">
        <v>1322</v>
      </c>
      <c r="B1785" s="1574"/>
      <c r="C1785" s="1574" t="s">
        <v>6363</v>
      </c>
      <c r="D1785" s="1574"/>
      <c r="E1785" s="1574"/>
      <c r="F1785" s="1574" t="s">
        <v>2392</v>
      </c>
      <c r="G1785" s="1574"/>
      <c r="H1785" s="1574"/>
      <c r="I1785" s="1574"/>
      <c r="J1785" s="1412">
        <v>0</v>
      </c>
      <c r="K1785" s="1412">
        <v>0</v>
      </c>
      <c r="L1785" s="1412">
        <v>3688.53</v>
      </c>
      <c r="M1785" s="1575">
        <v>3688.53</v>
      </c>
      <c r="N1785" s="1575"/>
      <c r="O1785" s="1575">
        <v>0</v>
      </c>
      <c r="P1785" s="1575"/>
      <c r="Q1785" s="1575">
        <v>0</v>
      </c>
      <c r="R1785" s="1575"/>
      <c r="S1785" s="1575"/>
      <c r="T1785" s="1575"/>
      <c r="U1785" s="1575"/>
    </row>
    <row r="1786" spans="1:21" ht="19.149999999999999" customHeight="1">
      <c r="A1786" s="1574" t="s">
        <v>1322</v>
      </c>
      <c r="B1786" s="1574"/>
      <c r="C1786" s="1574" t="s">
        <v>3287</v>
      </c>
      <c r="D1786" s="1574"/>
      <c r="E1786" s="1574"/>
      <c r="F1786" s="1574" t="s">
        <v>2455</v>
      </c>
      <c r="G1786" s="1574"/>
      <c r="H1786" s="1574"/>
      <c r="I1786" s="1574"/>
      <c r="J1786" s="1412">
        <v>0</v>
      </c>
      <c r="K1786" s="1412">
        <v>0</v>
      </c>
      <c r="L1786" s="1412">
        <v>991.64</v>
      </c>
      <c r="M1786" s="1575">
        <v>991.64</v>
      </c>
      <c r="N1786" s="1575"/>
      <c r="O1786" s="1575">
        <v>0</v>
      </c>
      <c r="P1786" s="1575"/>
      <c r="Q1786" s="1575">
        <v>0</v>
      </c>
      <c r="R1786" s="1575"/>
      <c r="S1786" s="1575"/>
      <c r="T1786" s="1575"/>
      <c r="U1786" s="1575"/>
    </row>
    <row r="1787" spans="1:21" ht="19.149999999999999" customHeight="1">
      <c r="A1787" s="1574" t="s">
        <v>1322</v>
      </c>
      <c r="B1787" s="1574"/>
      <c r="C1787" s="1574" t="s">
        <v>2699</v>
      </c>
      <c r="D1787" s="1574"/>
      <c r="E1787" s="1574"/>
      <c r="F1787" s="1574" t="s">
        <v>2396</v>
      </c>
      <c r="G1787" s="1574"/>
      <c r="H1787" s="1574"/>
      <c r="I1787" s="1574"/>
      <c r="J1787" s="1412">
        <v>0</v>
      </c>
      <c r="K1787" s="1412">
        <v>0</v>
      </c>
      <c r="L1787" s="1412">
        <v>11286.9</v>
      </c>
      <c r="M1787" s="1575">
        <v>11286.9</v>
      </c>
      <c r="N1787" s="1575"/>
      <c r="O1787" s="1575">
        <v>0</v>
      </c>
      <c r="P1787" s="1575"/>
      <c r="Q1787" s="1575">
        <v>0</v>
      </c>
      <c r="R1787" s="1575"/>
      <c r="S1787" s="1575"/>
      <c r="T1787" s="1575"/>
      <c r="U1787" s="1575"/>
    </row>
    <row r="1788" spans="1:21" ht="19.149999999999999" customHeight="1">
      <c r="A1788" s="1574" t="s">
        <v>1322</v>
      </c>
      <c r="B1788" s="1574"/>
      <c r="C1788" s="1574" t="s">
        <v>2700</v>
      </c>
      <c r="D1788" s="1574"/>
      <c r="E1788" s="1574"/>
      <c r="F1788" s="1574" t="s">
        <v>2398</v>
      </c>
      <c r="G1788" s="1574"/>
      <c r="H1788" s="1574"/>
      <c r="I1788" s="1574"/>
      <c r="J1788" s="1412">
        <v>0</v>
      </c>
      <c r="K1788" s="1412">
        <v>0</v>
      </c>
      <c r="L1788" s="1412">
        <v>345.72</v>
      </c>
      <c r="M1788" s="1575">
        <v>345.72</v>
      </c>
      <c r="N1788" s="1575"/>
      <c r="O1788" s="1575">
        <v>0</v>
      </c>
      <c r="P1788" s="1575"/>
      <c r="Q1788" s="1575">
        <v>0</v>
      </c>
      <c r="R1788" s="1575"/>
      <c r="S1788" s="1575"/>
      <c r="T1788" s="1575"/>
      <c r="U1788" s="1575"/>
    </row>
    <row r="1789" spans="1:21" ht="19.149999999999999" customHeight="1">
      <c r="A1789" s="1574" t="s">
        <v>1322</v>
      </c>
      <c r="B1789" s="1574"/>
      <c r="C1789" s="1574" t="s">
        <v>2701</v>
      </c>
      <c r="D1789" s="1574"/>
      <c r="E1789" s="1574"/>
      <c r="F1789" s="1574" t="s">
        <v>2400</v>
      </c>
      <c r="G1789" s="1574"/>
      <c r="H1789" s="1574"/>
      <c r="I1789" s="1574"/>
      <c r="J1789" s="1412">
        <v>0</v>
      </c>
      <c r="K1789" s="1412">
        <v>0</v>
      </c>
      <c r="L1789" s="1412">
        <v>0</v>
      </c>
      <c r="M1789" s="1575">
        <v>0</v>
      </c>
      <c r="N1789" s="1575"/>
      <c r="O1789" s="1575">
        <v>0</v>
      </c>
      <c r="P1789" s="1575"/>
      <c r="Q1789" s="1575">
        <v>0</v>
      </c>
      <c r="R1789" s="1575"/>
      <c r="S1789" s="1575"/>
      <c r="T1789" s="1575"/>
      <c r="U1789" s="1575"/>
    </row>
    <row r="1790" spans="1:21" ht="19.149999999999999" customHeight="1">
      <c r="A1790" s="1574" t="s">
        <v>1322</v>
      </c>
      <c r="B1790" s="1574"/>
      <c r="C1790" s="1574" t="s">
        <v>2702</v>
      </c>
      <c r="D1790" s="1574"/>
      <c r="E1790" s="1574"/>
      <c r="F1790" s="1574" t="s">
        <v>2402</v>
      </c>
      <c r="G1790" s="1574"/>
      <c r="H1790" s="1574"/>
      <c r="I1790" s="1574"/>
      <c r="J1790" s="1412">
        <v>0</v>
      </c>
      <c r="K1790" s="1412">
        <v>0</v>
      </c>
      <c r="L1790" s="1412">
        <v>4919.78</v>
      </c>
      <c r="M1790" s="1575">
        <v>4919.78</v>
      </c>
      <c r="N1790" s="1575"/>
      <c r="O1790" s="1575">
        <v>0</v>
      </c>
      <c r="P1790" s="1575"/>
      <c r="Q1790" s="1575">
        <v>0</v>
      </c>
      <c r="R1790" s="1575"/>
      <c r="S1790" s="1575"/>
      <c r="T1790" s="1575"/>
      <c r="U1790" s="1575"/>
    </row>
    <row r="1791" spans="1:21" ht="19.149999999999999" customHeight="1">
      <c r="A1791" s="1574" t="s">
        <v>1322</v>
      </c>
      <c r="B1791" s="1574"/>
      <c r="C1791" s="1574" t="s">
        <v>2703</v>
      </c>
      <c r="D1791" s="1574"/>
      <c r="E1791" s="1574"/>
      <c r="F1791" s="1574" t="s">
        <v>2443</v>
      </c>
      <c r="G1791" s="1574"/>
      <c r="H1791" s="1574"/>
      <c r="I1791" s="1574"/>
      <c r="J1791" s="1412">
        <v>0</v>
      </c>
      <c r="K1791" s="1412">
        <v>0</v>
      </c>
      <c r="L1791" s="1412">
        <v>273204.92</v>
      </c>
      <c r="M1791" s="1575">
        <v>273204.92</v>
      </c>
      <c r="N1791" s="1575"/>
      <c r="O1791" s="1575">
        <v>0</v>
      </c>
      <c r="P1791" s="1575"/>
      <c r="Q1791" s="1575">
        <v>0</v>
      </c>
      <c r="R1791" s="1575"/>
      <c r="S1791" s="1575"/>
      <c r="T1791" s="1575"/>
      <c r="U1791" s="1575"/>
    </row>
    <row r="1792" spans="1:21" ht="19.149999999999999" customHeight="1">
      <c r="A1792" s="1574" t="s">
        <v>1322</v>
      </c>
      <c r="B1792" s="1574"/>
      <c r="C1792" s="1574" t="s">
        <v>5836</v>
      </c>
      <c r="D1792" s="1574"/>
      <c r="E1792" s="1574"/>
      <c r="F1792" s="1574" t="s">
        <v>2445</v>
      </c>
      <c r="G1792" s="1574"/>
      <c r="H1792" s="1574"/>
      <c r="I1792" s="1574"/>
      <c r="J1792" s="1412">
        <v>0</v>
      </c>
      <c r="K1792" s="1412">
        <v>0</v>
      </c>
      <c r="L1792" s="1412">
        <v>126656.37</v>
      </c>
      <c r="M1792" s="1575">
        <v>126656.37</v>
      </c>
      <c r="N1792" s="1575"/>
      <c r="O1792" s="1575">
        <v>0</v>
      </c>
      <c r="P1792" s="1575"/>
      <c r="Q1792" s="1575">
        <v>0</v>
      </c>
      <c r="R1792" s="1575"/>
      <c r="S1792" s="1575"/>
      <c r="T1792" s="1575"/>
      <c r="U1792" s="1575"/>
    </row>
    <row r="1793" spans="1:23" ht="19.149999999999999" customHeight="1">
      <c r="A1793" s="1574" t="s">
        <v>1322</v>
      </c>
      <c r="B1793" s="1574"/>
      <c r="C1793" s="1574" t="s">
        <v>5981</v>
      </c>
      <c r="D1793" s="1574"/>
      <c r="E1793" s="1574"/>
      <c r="F1793" s="1574" t="s">
        <v>2443</v>
      </c>
      <c r="G1793" s="1574"/>
      <c r="H1793" s="1574"/>
      <c r="I1793" s="1574"/>
      <c r="J1793" s="1412">
        <v>0</v>
      </c>
      <c r="K1793" s="1412">
        <v>0</v>
      </c>
      <c r="L1793" s="1412">
        <v>82586</v>
      </c>
      <c r="M1793" s="1575">
        <v>82586</v>
      </c>
      <c r="N1793" s="1575"/>
      <c r="O1793" s="1575">
        <v>0</v>
      </c>
      <c r="P1793" s="1575"/>
      <c r="Q1793" s="1575">
        <v>0</v>
      </c>
      <c r="R1793" s="1575"/>
      <c r="S1793" s="1575"/>
      <c r="T1793" s="1575"/>
      <c r="U1793" s="1575"/>
    </row>
    <row r="1794" spans="1:23" ht="6.95" customHeight="1"/>
    <row r="1795" spans="1:23" ht="14.1" customHeight="1">
      <c r="S1795" s="1573" t="s">
        <v>6567</v>
      </c>
      <c r="T1795" s="1573"/>
      <c r="U1795" s="1573"/>
      <c r="V1795" s="1573"/>
      <c r="W1795" s="1573"/>
    </row>
    <row r="1796" spans="1:23" ht="7.15" customHeight="1">
      <c r="C1796" s="1586" t="s">
        <v>2987</v>
      </c>
      <c r="D1796" s="1586"/>
      <c r="E1796" s="1586"/>
      <c r="F1796" s="1586"/>
      <c r="G1796" s="1586"/>
      <c r="H1796" s="1586"/>
      <c r="I1796" s="1586"/>
      <c r="J1796" s="1586"/>
      <c r="K1796" s="1586"/>
      <c r="L1796" s="1586"/>
      <c r="M1796" s="1586"/>
      <c r="N1796" s="1586"/>
      <c r="O1796" s="1586"/>
      <c r="P1796" s="1586"/>
      <c r="Q1796" s="1586"/>
      <c r="R1796" s="1586"/>
      <c r="S1796" s="1586"/>
      <c r="T1796" s="1586"/>
    </row>
    <row r="1797" spans="1:23" ht="9.6" customHeight="1">
      <c r="A1797" s="1587"/>
      <c r="B1797" s="1587"/>
      <c r="C1797" s="1587"/>
      <c r="D1797" s="1587"/>
      <c r="E1797" s="1587"/>
      <c r="F1797" s="1587"/>
      <c r="G1797" s="1586"/>
      <c r="H1797" s="1586"/>
      <c r="I1797" s="1586"/>
      <c r="J1797" s="1586"/>
      <c r="K1797" s="1586"/>
      <c r="L1797" s="1586"/>
      <c r="M1797" s="1586"/>
      <c r="N1797" s="1586"/>
      <c r="O1797" s="1586"/>
      <c r="P1797" s="1586"/>
      <c r="Q1797" s="1586"/>
      <c r="R1797" s="1586"/>
      <c r="S1797" s="1586"/>
      <c r="T1797" s="1586"/>
    </row>
    <row r="1798" spans="1:23" ht="13.35" customHeight="1">
      <c r="A1798" s="1587"/>
      <c r="B1798" s="1587"/>
      <c r="C1798" s="1587"/>
      <c r="D1798" s="1587"/>
      <c r="E1798" s="1587"/>
      <c r="F1798" s="1587"/>
      <c r="G1798" s="1588" t="s">
        <v>79</v>
      </c>
      <c r="H1798" s="1588"/>
      <c r="I1798" s="1588"/>
      <c r="J1798" s="1588"/>
      <c r="K1798" s="1588"/>
      <c r="L1798" s="1588"/>
      <c r="M1798" s="1588"/>
      <c r="N1798" s="1588"/>
      <c r="O1798" s="1588"/>
      <c r="P1798" s="1588"/>
      <c r="Q1798" s="1588"/>
      <c r="R1798" s="1588"/>
    </row>
    <row r="1799" spans="1:23" ht="5.25" customHeight="1">
      <c r="A1799" s="1587"/>
      <c r="B1799" s="1587"/>
      <c r="C1799" s="1587"/>
      <c r="D1799" s="1587"/>
      <c r="E1799" s="1587"/>
      <c r="F1799" s="1587"/>
      <c r="G1799" s="1581" t="s">
        <v>7015</v>
      </c>
      <c r="H1799" s="1581"/>
      <c r="I1799" s="1581"/>
      <c r="J1799" s="1581"/>
      <c r="K1799" s="1581"/>
      <c r="L1799" s="1581"/>
      <c r="M1799" s="1581"/>
      <c r="N1799" s="1581"/>
      <c r="O1799" s="1581"/>
      <c r="P1799" s="1581"/>
      <c r="Q1799" s="1581"/>
    </row>
    <row r="1800" spans="1:23" ht="8.1" customHeight="1">
      <c r="B1800" s="1580" t="s">
        <v>1916</v>
      </c>
      <c r="C1800" s="1580"/>
      <c r="D1800" s="1580"/>
      <c r="E1800" s="1580"/>
      <c r="F1800" s="1580"/>
      <c r="G1800" s="1580"/>
      <c r="H1800" s="1581"/>
      <c r="I1800" s="1581"/>
      <c r="J1800" s="1581"/>
      <c r="K1800" s="1581"/>
      <c r="L1800" s="1581"/>
      <c r="M1800" s="1581"/>
      <c r="N1800" s="1582" t="s">
        <v>5619</v>
      </c>
      <c r="O1800" s="1582"/>
      <c r="P1800" s="1582"/>
      <c r="Q1800" s="1582"/>
      <c r="R1800" s="1582"/>
      <c r="S1800" s="1582"/>
      <c r="T1800" s="1583" t="s">
        <v>7016</v>
      </c>
      <c r="U1800" s="1583"/>
      <c r="V1800" s="1583"/>
      <c r="W1800" s="1583"/>
    </row>
    <row r="1801" spans="1:23" ht="6" customHeight="1">
      <c r="B1801" s="1580"/>
      <c r="C1801" s="1580"/>
      <c r="D1801" s="1580"/>
      <c r="E1801" s="1580"/>
      <c r="F1801" s="1580"/>
      <c r="G1801" s="1580"/>
      <c r="H1801" s="1584" t="s">
        <v>7017</v>
      </c>
      <c r="I1801" s="1584"/>
      <c r="J1801" s="1584"/>
      <c r="K1801" s="1584"/>
      <c r="L1801" s="1584"/>
      <c r="M1801" s="1584"/>
      <c r="N1801" s="1582"/>
      <c r="O1801" s="1582"/>
      <c r="P1801" s="1582"/>
      <c r="Q1801" s="1582"/>
      <c r="R1801" s="1582"/>
      <c r="S1801" s="1582"/>
      <c r="T1801" s="1583"/>
      <c r="U1801" s="1583"/>
      <c r="V1801" s="1583"/>
      <c r="W1801" s="1583"/>
    </row>
    <row r="1802" spans="1:23" ht="7.35" customHeight="1">
      <c r="B1802" s="1580" t="s">
        <v>1994</v>
      </c>
      <c r="C1802" s="1580"/>
      <c r="D1802" s="1580"/>
      <c r="E1802" s="1585"/>
      <c r="F1802" s="1585"/>
      <c r="G1802" s="1585"/>
      <c r="H1802" s="1585"/>
      <c r="I1802" s="1585"/>
      <c r="J1802" s="1585"/>
      <c r="K1802" s="1585"/>
      <c r="L1802" s="1585"/>
      <c r="M1802" s="1585"/>
      <c r="N1802" s="1585"/>
      <c r="O1802" s="1585"/>
      <c r="P1802" s="1585"/>
      <c r="Q1802" s="1585"/>
      <c r="R1802" s="1582"/>
      <c r="S1802" s="1582"/>
      <c r="T1802" s="1582" t="s">
        <v>7018</v>
      </c>
      <c r="U1802" s="1582"/>
    </row>
    <row r="1803" spans="1:23" ht="6.75" customHeight="1">
      <c r="E1803" s="1585"/>
      <c r="F1803" s="1585"/>
      <c r="G1803" s="1585"/>
      <c r="H1803" s="1585"/>
      <c r="I1803" s="1585"/>
      <c r="J1803" s="1585"/>
      <c r="K1803" s="1585"/>
      <c r="L1803" s="1585"/>
      <c r="M1803" s="1585"/>
      <c r="N1803" s="1585"/>
      <c r="O1803" s="1585"/>
      <c r="P1803" s="1585"/>
      <c r="Q1803" s="1585"/>
      <c r="R1803" s="1582"/>
      <c r="S1803" s="1582"/>
      <c r="T1803" s="1582"/>
      <c r="U1803" s="1582"/>
    </row>
    <row r="1804" spans="1:23" ht="10.9" customHeight="1">
      <c r="A1804" s="1576"/>
      <c r="B1804" s="1576"/>
      <c r="C1804" s="1576"/>
      <c r="D1804" s="1576"/>
      <c r="E1804" s="1576"/>
      <c r="F1804" s="1576"/>
      <c r="G1804" s="1576"/>
      <c r="H1804" s="1576"/>
      <c r="I1804" s="1576"/>
      <c r="J1804" s="1577" t="s">
        <v>1314</v>
      </c>
      <c r="K1804" s="1577"/>
      <c r="L1804" s="1577" t="s">
        <v>1315</v>
      </c>
      <c r="M1804" s="1577"/>
      <c r="N1804" s="1577"/>
      <c r="O1804" s="1577" t="s">
        <v>1316</v>
      </c>
      <c r="P1804" s="1577"/>
      <c r="Q1804" s="1577"/>
      <c r="R1804" s="1577"/>
      <c r="S1804" s="1577"/>
      <c r="T1804" s="1577"/>
      <c r="U1804" s="1577"/>
    </row>
    <row r="1805" spans="1:23" ht="14.1" customHeight="1">
      <c r="A1805" s="1578" t="s">
        <v>1317</v>
      </c>
      <c r="B1805" s="1578"/>
      <c r="C1805" s="1578" t="s">
        <v>1318</v>
      </c>
      <c r="D1805" s="1578"/>
      <c r="E1805" s="1578"/>
      <c r="F1805" s="1578" t="s">
        <v>1319</v>
      </c>
      <c r="G1805" s="1578"/>
      <c r="H1805" s="1578"/>
      <c r="I1805" s="1578"/>
      <c r="J1805" s="1413" t="s">
        <v>1320</v>
      </c>
      <c r="K1805" s="1413" t="s">
        <v>1321</v>
      </c>
      <c r="L1805" s="1413" t="s">
        <v>1320</v>
      </c>
      <c r="M1805" s="1579" t="s">
        <v>1321</v>
      </c>
      <c r="N1805" s="1579"/>
      <c r="O1805" s="1579" t="s">
        <v>1320</v>
      </c>
      <c r="P1805" s="1579"/>
      <c r="Q1805" s="1579" t="s">
        <v>1321</v>
      </c>
      <c r="R1805" s="1579"/>
      <c r="S1805" s="1579"/>
      <c r="T1805" s="1579"/>
      <c r="U1805" s="1579"/>
    </row>
    <row r="1806" spans="1:23" ht="22.5" customHeight="1">
      <c r="A1806" s="1574" t="s">
        <v>1322</v>
      </c>
      <c r="B1806" s="1574"/>
      <c r="C1806" s="1574" t="s">
        <v>6271</v>
      </c>
      <c r="D1806" s="1574"/>
      <c r="E1806" s="1574"/>
      <c r="F1806" s="1574" t="s">
        <v>2445</v>
      </c>
      <c r="G1806" s="1574"/>
      <c r="H1806" s="1574"/>
      <c r="I1806" s="1574"/>
      <c r="J1806" s="1412">
        <v>0</v>
      </c>
      <c r="K1806" s="1412">
        <v>0</v>
      </c>
      <c r="L1806" s="1412">
        <v>0</v>
      </c>
      <c r="M1806" s="1575">
        <v>0</v>
      </c>
      <c r="N1806" s="1575"/>
      <c r="O1806" s="1575">
        <v>0</v>
      </c>
      <c r="P1806" s="1575"/>
      <c r="Q1806" s="1575">
        <v>0</v>
      </c>
      <c r="R1806" s="1575"/>
      <c r="S1806" s="1575"/>
      <c r="T1806" s="1575"/>
      <c r="U1806" s="1575"/>
    </row>
    <row r="1807" spans="1:23" ht="19.149999999999999" customHeight="1">
      <c r="A1807" s="1574" t="s">
        <v>1322</v>
      </c>
      <c r="B1807" s="1574"/>
      <c r="C1807" s="1574" t="s">
        <v>5982</v>
      </c>
      <c r="D1807" s="1574"/>
      <c r="E1807" s="1574"/>
      <c r="F1807" s="1574" t="s">
        <v>2443</v>
      </c>
      <c r="G1807" s="1574"/>
      <c r="H1807" s="1574"/>
      <c r="I1807" s="1574"/>
      <c r="J1807" s="1412">
        <v>0</v>
      </c>
      <c r="K1807" s="1412">
        <v>0</v>
      </c>
      <c r="L1807" s="1412">
        <v>750365.41</v>
      </c>
      <c r="M1807" s="1575">
        <v>750365.41</v>
      </c>
      <c r="N1807" s="1575"/>
      <c r="O1807" s="1575">
        <v>0</v>
      </c>
      <c r="P1807" s="1575"/>
      <c r="Q1807" s="1575">
        <v>0</v>
      </c>
      <c r="R1807" s="1575"/>
      <c r="S1807" s="1575"/>
      <c r="T1807" s="1575"/>
      <c r="U1807" s="1575"/>
    </row>
    <row r="1808" spans="1:23" ht="19.149999999999999" customHeight="1">
      <c r="A1808" s="1574" t="s">
        <v>1322</v>
      </c>
      <c r="B1808" s="1574"/>
      <c r="C1808" s="1574" t="s">
        <v>5837</v>
      </c>
      <c r="D1808" s="1574"/>
      <c r="E1808" s="1574"/>
      <c r="F1808" s="1574" t="s">
        <v>2445</v>
      </c>
      <c r="G1808" s="1574"/>
      <c r="H1808" s="1574"/>
      <c r="I1808" s="1574"/>
      <c r="J1808" s="1412">
        <v>0</v>
      </c>
      <c r="K1808" s="1412">
        <v>0</v>
      </c>
      <c r="L1808" s="1412">
        <v>132762</v>
      </c>
      <c r="M1808" s="1575">
        <v>132762</v>
      </c>
      <c r="N1808" s="1575"/>
      <c r="O1808" s="1575">
        <v>0</v>
      </c>
      <c r="P1808" s="1575"/>
      <c r="Q1808" s="1575">
        <v>0</v>
      </c>
      <c r="R1808" s="1575"/>
      <c r="S1808" s="1575"/>
      <c r="T1808" s="1575"/>
      <c r="U1808" s="1575"/>
    </row>
    <row r="1809" spans="1:21" ht="19.149999999999999" customHeight="1">
      <c r="A1809" s="1574" t="s">
        <v>1322</v>
      </c>
      <c r="B1809" s="1574"/>
      <c r="C1809" s="1574" t="s">
        <v>5983</v>
      </c>
      <c r="D1809" s="1574"/>
      <c r="E1809" s="1574"/>
      <c r="F1809" s="1574" t="s">
        <v>2443</v>
      </c>
      <c r="G1809" s="1574"/>
      <c r="H1809" s="1574"/>
      <c r="I1809" s="1574"/>
      <c r="J1809" s="1412">
        <v>0</v>
      </c>
      <c r="K1809" s="1412">
        <v>0</v>
      </c>
      <c r="L1809" s="1412">
        <v>5946</v>
      </c>
      <c r="M1809" s="1575">
        <v>5946</v>
      </c>
      <c r="N1809" s="1575"/>
      <c r="O1809" s="1575">
        <v>0</v>
      </c>
      <c r="P1809" s="1575"/>
      <c r="Q1809" s="1575">
        <v>0</v>
      </c>
      <c r="R1809" s="1575"/>
      <c r="S1809" s="1575"/>
      <c r="T1809" s="1575"/>
      <c r="U1809" s="1575"/>
    </row>
    <row r="1810" spans="1:21" ht="19.149999999999999" customHeight="1">
      <c r="A1810" s="1574" t="s">
        <v>1322</v>
      </c>
      <c r="B1810" s="1574"/>
      <c r="C1810" s="1574" t="s">
        <v>5928</v>
      </c>
      <c r="D1810" s="1574"/>
      <c r="E1810" s="1574"/>
      <c r="F1810" s="1574" t="s">
        <v>2445</v>
      </c>
      <c r="G1810" s="1574"/>
      <c r="H1810" s="1574"/>
      <c r="I1810" s="1574"/>
      <c r="J1810" s="1412">
        <v>0</v>
      </c>
      <c r="K1810" s="1412">
        <v>0</v>
      </c>
      <c r="L1810" s="1412">
        <v>278427.08</v>
      </c>
      <c r="M1810" s="1575">
        <v>278427.08</v>
      </c>
      <c r="N1810" s="1575"/>
      <c r="O1810" s="1575">
        <v>0</v>
      </c>
      <c r="P1810" s="1575"/>
      <c r="Q1810" s="1575">
        <v>0</v>
      </c>
      <c r="R1810" s="1575"/>
      <c r="S1810" s="1575"/>
      <c r="T1810" s="1575"/>
      <c r="U1810" s="1575"/>
    </row>
    <row r="1811" spans="1:21" ht="19.149999999999999" customHeight="1">
      <c r="A1811" s="1574" t="s">
        <v>1322</v>
      </c>
      <c r="B1811" s="1574"/>
      <c r="C1811" s="1574" t="s">
        <v>2704</v>
      </c>
      <c r="D1811" s="1574"/>
      <c r="E1811" s="1574"/>
      <c r="F1811" s="1574" t="s">
        <v>2387</v>
      </c>
      <c r="G1811" s="1574"/>
      <c r="H1811" s="1574"/>
      <c r="I1811" s="1574"/>
      <c r="J1811" s="1412">
        <v>0</v>
      </c>
      <c r="K1811" s="1412">
        <v>0</v>
      </c>
      <c r="L1811" s="1412">
        <v>348709.8</v>
      </c>
      <c r="M1811" s="1575">
        <v>348709.8</v>
      </c>
      <c r="N1811" s="1575"/>
      <c r="O1811" s="1575">
        <v>0</v>
      </c>
      <c r="P1811" s="1575"/>
      <c r="Q1811" s="1575">
        <v>0</v>
      </c>
      <c r="R1811" s="1575"/>
      <c r="S1811" s="1575"/>
      <c r="T1811" s="1575"/>
      <c r="U1811" s="1575"/>
    </row>
    <row r="1812" spans="1:21" ht="19.149999999999999" customHeight="1">
      <c r="A1812" s="1574" t="s">
        <v>1322</v>
      </c>
      <c r="B1812" s="1574"/>
      <c r="C1812" s="1574" t="s">
        <v>7067</v>
      </c>
      <c r="D1812" s="1574"/>
      <c r="E1812" s="1574"/>
      <c r="F1812" s="1574" t="s">
        <v>2390</v>
      </c>
      <c r="G1812" s="1574"/>
      <c r="H1812" s="1574"/>
      <c r="I1812" s="1574"/>
      <c r="J1812" s="1412">
        <v>0</v>
      </c>
      <c r="K1812" s="1412">
        <v>0</v>
      </c>
      <c r="L1812" s="1412">
        <v>593152.66</v>
      </c>
      <c r="M1812" s="1575">
        <v>593152.66</v>
      </c>
      <c r="N1812" s="1575"/>
      <c r="O1812" s="1575">
        <v>0</v>
      </c>
      <c r="P1812" s="1575"/>
      <c r="Q1812" s="1575">
        <v>0</v>
      </c>
      <c r="R1812" s="1575"/>
      <c r="S1812" s="1575"/>
      <c r="T1812" s="1575"/>
      <c r="U1812" s="1575"/>
    </row>
    <row r="1813" spans="1:21" ht="19.149999999999999" customHeight="1">
      <c r="A1813" s="1574" t="s">
        <v>1322</v>
      </c>
      <c r="B1813" s="1574"/>
      <c r="C1813" s="1574" t="s">
        <v>6364</v>
      </c>
      <c r="D1813" s="1574"/>
      <c r="E1813" s="1574"/>
      <c r="F1813" s="1574" t="s">
        <v>2392</v>
      </c>
      <c r="G1813" s="1574"/>
      <c r="H1813" s="1574"/>
      <c r="I1813" s="1574"/>
      <c r="J1813" s="1412">
        <v>0</v>
      </c>
      <c r="K1813" s="1412">
        <v>0</v>
      </c>
      <c r="L1813" s="1412">
        <v>29059.17</v>
      </c>
      <c r="M1813" s="1575">
        <v>29059.17</v>
      </c>
      <c r="N1813" s="1575"/>
      <c r="O1813" s="1575">
        <v>0</v>
      </c>
      <c r="P1813" s="1575"/>
      <c r="Q1813" s="1575">
        <v>0</v>
      </c>
      <c r="R1813" s="1575"/>
      <c r="S1813" s="1575"/>
      <c r="T1813" s="1575"/>
      <c r="U1813" s="1575"/>
    </row>
    <row r="1814" spans="1:21" ht="19.149999999999999" customHeight="1">
      <c r="A1814" s="1574" t="s">
        <v>1322</v>
      </c>
      <c r="B1814" s="1574"/>
      <c r="C1814" s="1574" t="s">
        <v>2706</v>
      </c>
      <c r="D1814" s="1574"/>
      <c r="E1814" s="1574"/>
      <c r="F1814" s="1574" t="s">
        <v>2396</v>
      </c>
      <c r="G1814" s="1574"/>
      <c r="H1814" s="1574"/>
      <c r="I1814" s="1574"/>
      <c r="J1814" s="1412">
        <v>0</v>
      </c>
      <c r="K1814" s="1412">
        <v>0</v>
      </c>
      <c r="L1814" s="1412">
        <v>88921.04</v>
      </c>
      <c r="M1814" s="1575">
        <v>88921.04</v>
      </c>
      <c r="N1814" s="1575"/>
      <c r="O1814" s="1575">
        <v>0</v>
      </c>
      <c r="P1814" s="1575"/>
      <c r="Q1814" s="1575">
        <v>0</v>
      </c>
      <c r="R1814" s="1575"/>
      <c r="S1814" s="1575"/>
      <c r="T1814" s="1575"/>
      <c r="U1814" s="1575"/>
    </row>
    <row r="1815" spans="1:21" ht="19.149999999999999" customHeight="1">
      <c r="A1815" s="1574" t="s">
        <v>1322</v>
      </c>
      <c r="B1815" s="1574"/>
      <c r="C1815" s="1574" t="s">
        <v>2707</v>
      </c>
      <c r="D1815" s="1574"/>
      <c r="E1815" s="1574"/>
      <c r="F1815" s="1574" t="s">
        <v>2398</v>
      </c>
      <c r="G1815" s="1574"/>
      <c r="H1815" s="1574"/>
      <c r="I1815" s="1574"/>
      <c r="J1815" s="1412">
        <v>0</v>
      </c>
      <c r="K1815" s="1412">
        <v>0</v>
      </c>
      <c r="L1815" s="1412">
        <v>2592.89</v>
      </c>
      <c r="M1815" s="1575">
        <v>2592.89</v>
      </c>
      <c r="N1815" s="1575"/>
      <c r="O1815" s="1575">
        <v>0</v>
      </c>
      <c r="P1815" s="1575"/>
      <c r="Q1815" s="1575">
        <v>0</v>
      </c>
      <c r="R1815" s="1575"/>
      <c r="S1815" s="1575"/>
      <c r="T1815" s="1575"/>
      <c r="U1815" s="1575"/>
    </row>
    <row r="1816" spans="1:21" ht="19.149999999999999" customHeight="1">
      <c r="A1816" s="1574" t="s">
        <v>1322</v>
      </c>
      <c r="B1816" s="1574"/>
      <c r="C1816" s="1574" t="s">
        <v>2708</v>
      </c>
      <c r="D1816" s="1574"/>
      <c r="E1816" s="1574"/>
      <c r="F1816" s="1574" t="s">
        <v>2400</v>
      </c>
      <c r="G1816" s="1574"/>
      <c r="H1816" s="1574"/>
      <c r="I1816" s="1574"/>
      <c r="J1816" s="1412">
        <v>0</v>
      </c>
      <c r="K1816" s="1412">
        <v>0</v>
      </c>
      <c r="L1816" s="1412">
        <v>0</v>
      </c>
      <c r="M1816" s="1575">
        <v>0</v>
      </c>
      <c r="N1816" s="1575"/>
      <c r="O1816" s="1575">
        <v>0</v>
      </c>
      <c r="P1816" s="1575"/>
      <c r="Q1816" s="1575">
        <v>0</v>
      </c>
      <c r="R1816" s="1575"/>
      <c r="S1816" s="1575"/>
      <c r="T1816" s="1575"/>
      <c r="U1816" s="1575"/>
    </row>
    <row r="1817" spans="1:21" ht="19.149999999999999" customHeight="1">
      <c r="A1817" s="1574" t="s">
        <v>1322</v>
      </c>
      <c r="B1817" s="1574"/>
      <c r="C1817" s="1574" t="s">
        <v>2709</v>
      </c>
      <c r="D1817" s="1574"/>
      <c r="E1817" s="1574"/>
      <c r="F1817" s="1574" t="s">
        <v>2402</v>
      </c>
      <c r="G1817" s="1574"/>
      <c r="H1817" s="1574"/>
      <c r="I1817" s="1574"/>
      <c r="J1817" s="1412">
        <v>0</v>
      </c>
      <c r="K1817" s="1412">
        <v>0</v>
      </c>
      <c r="L1817" s="1412">
        <v>21508.799999999999</v>
      </c>
      <c r="M1817" s="1575">
        <v>21508.799999999999</v>
      </c>
      <c r="N1817" s="1575"/>
      <c r="O1817" s="1575">
        <v>0</v>
      </c>
      <c r="P1817" s="1575"/>
      <c r="Q1817" s="1575">
        <v>0</v>
      </c>
      <c r="R1817" s="1575"/>
      <c r="S1817" s="1575"/>
      <c r="T1817" s="1575"/>
      <c r="U1817" s="1575"/>
    </row>
    <row r="1818" spans="1:21" ht="19.149999999999999" customHeight="1">
      <c r="A1818" s="1574" t="s">
        <v>1322</v>
      </c>
      <c r="B1818" s="1574"/>
      <c r="C1818" s="1574" t="s">
        <v>3331</v>
      </c>
      <c r="D1818" s="1574"/>
      <c r="E1818" s="1574"/>
      <c r="F1818" s="1574" t="s">
        <v>2462</v>
      </c>
      <c r="G1818" s="1574"/>
      <c r="H1818" s="1574"/>
      <c r="I1818" s="1574"/>
      <c r="J1818" s="1412">
        <v>0</v>
      </c>
      <c r="K1818" s="1412">
        <v>0</v>
      </c>
      <c r="L1818" s="1412">
        <v>5926.07</v>
      </c>
      <c r="M1818" s="1575">
        <v>5926.07</v>
      </c>
      <c r="N1818" s="1575"/>
      <c r="O1818" s="1575">
        <v>0</v>
      </c>
      <c r="P1818" s="1575"/>
      <c r="Q1818" s="1575">
        <v>0</v>
      </c>
      <c r="R1818" s="1575"/>
      <c r="S1818" s="1575"/>
      <c r="T1818" s="1575"/>
      <c r="U1818" s="1575"/>
    </row>
    <row r="1819" spans="1:21" ht="19.149999999999999" customHeight="1">
      <c r="A1819" s="1574" t="s">
        <v>1322</v>
      </c>
      <c r="B1819" s="1574"/>
      <c r="C1819" s="1574" t="s">
        <v>5838</v>
      </c>
      <c r="D1819" s="1574"/>
      <c r="E1819" s="1574"/>
      <c r="F1819" s="1574" t="s">
        <v>2464</v>
      </c>
      <c r="G1819" s="1574"/>
      <c r="H1819" s="1574"/>
      <c r="I1819" s="1574"/>
      <c r="J1819" s="1412">
        <v>0</v>
      </c>
      <c r="K1819" s="1412">
        <v>0</v>
      </c>
      <c r="L1819" s="1412">
        <v>0</v>
      </c>
      <c r="M1819" s="1575">
        <v>0</v>
      </c>
      <c r="N1819" s="1575"/>
      <c r="O1819" s="1575">
        <v>0</v>
      </c>
      <c r="P1819" s="1575"/>
      <c r="Q1819" s="1575">
        <v>0</v>
      </c>
      <c r="R1819" s="1575"/>
      <c r="S1819" s="1575"/>
      <c r="T1819" s="1575"/>
      <c r="U1819" s="1575"/>
    </row>
    <row r="1820" spans="1:21" ht="19.149999999999999" customHeight="1">
      <c r="A1820" s="1574" t="s">
        <v>1322</v>
      </c>
      <c r="B1820" s="1574"/>
      <c r="C1820" s="1574" t="s">
        <v>5839</v>
      </c>
      <c r="D1820" s="1574"/>
      <c r="E1820" s="1574"/>
      <c r="F1820" s="1574" t="s">
        <v>2466</v>
      </c>
      <c r="G1820" s="1574"/>
      <c r="H1820" s="1574"/>
      <c r="I1820" s="1574"/>
      <c r="J1820" s="1412">
        <v>0</v>
      </c>
      <c r="K1820" s="1412">
        <v>0</v>
      </c>
      <c r="L1820" s="1412">
        <v>8564</v>
      </c>
      <c r="M1820" s="1575">
        <v>8564</v>
      </c>
      <c r="N1820" s="1575"/>
      <c r="O1820" s="1575">
        <v>0</v>
      </c>
      <c r="P1820" s="1575"/>
      <c r="Q1820" s="1575">
        <v>0</v>
      </c>
      <c r="R1820" s="1575"/>
      <c r="S1820" s="1575"/>
      <c r="T1820" s="1575"/>
      <c r="U1820" s="1575"/>
    </row>
    <row r="1821" spans="1:21" ht="19.149999999999999" customHeight="1">
      <c r="A1821" s="1574" t="s">
        <v>1322</v>
      </c>
      <c r="B1821" s="1574"/>
      <c r="C1821" s="1574" t="s">
        <v>3332</v>
      </c>
      <c r="D1821" s="1574"/>
      <c r="E1821" s="1574"/>
      <c r="F1821" s="1574" t="s">
        <v>2468</v>
      </c>
      <c r="G1821" s="1574"/>
      <c r="H1821" s="1574"/>
      <c r="I1821" s="1574"/>
      <c r="J1821" s="1412">
        <v>0</v>
      </c>
      <c r="K1821" s="1412">
        <v>0</v>
      </c>
      <c r="L1821" s="1412">
        <v>2586.8000000000002</v>
      </c>
      <c r="M1821" s="1575">
        <v>2586.8000000000002</v>
      </c>
      <c r="N1821" s="1575"/>
      <c r="O1821" s="1575">
        <v>0</v>
      </c>
      <c r="P1821" s="1575"/>
      <c r="Q1821" s="1575">
        <v>0</v>
      </c>
      <c r="R1821" s="1575"/>
      <c r="S1821" s="1575"/>
      <c r="T1821" s="1575"/>
      <c r="U1821" s="1575"/>
    </row>
    <row r="1822" spans="1:21" ht="19.149999999999999" customHeight="1">
      <c r="A1822" s="1574" t="s">
        <v>1322</v>
      </c>
      <c r="B1822" s="1574"/>
      <c r="C1822" s="1574" t="s">
        <v>6677</v>
      </c>
      <c r="D1822" s="1574"/>
      <c r="E1822" s="1574"/>
      <c r="F1822" s="1574" t="s">
        <v>2470</v>
      </c>
      <c r="G1822" s="1574"/>
      <c r="H1822" s="1574"/>
      <c r="I1822" s="1574"/>
      <c r="J1822" s="1412">
        <v>0</v>
      </c>
      <c r="K1822" s="1412">
        <v>0</v>
      </c>
      <c r="L1822" s="1412">
        <v>0</v>
      </c>
      <c r="M1822" s="1575">
        <v>0</v>
      </c>
      <c r="N1822" s="1575"/>
      <c r="O1822" s="1575">
        <v>0</v>
      </c>
      <c r="P1822" s="1575"/>
      <c r="Q1822" s="1575">
        <v>0</v>
      </c>
      <c r="R1822" s="1575"/>
      <c r="S1822" s="1575"/>
      <c r="T1822" s="1575"/>
      <c r="U1822" s="1575"/>
    </row>
    <row r="1823" spans="1:21" ht="19.149999999999999" customHeight="1">
      <c r="A1823" s="1574" t="s">
        <v>1322</v>
      </c>
      <c r="B1823" s="1574"/>
      <c r="C1823" s="1574" t="s">
        <v>2710</v>
      </c>
      <c r="D1823" s="1574"/>
      <c r="E1823" s="1574"/>
      <c r="F1823" s="1574" t="s">
        <v>2416</v>
      </c>
      <c r="G1823" s="1574"/>
      <c r="H1823" s="1574"/>
      <c r="I1823" s="1574"/>
      <c r="J1823" s="1412">
        <v>0</v>
      </c>
      <c r="K1823" s="1412">
        <v>0</v>
      </c>
      <c r="L1823" s="1412">
        <v>11540.1</v>
      </c>
      <c r="M1823" s="1575">
        <v>11540.1</v>
      </c>
      <c r="N1823" s="1575"/>
      <c r="O1823" s="1575">
        <v>0</v>
      </c>
      <c r="P1823" s="1575"/>
      <c r="Q1823" s="1575">
        <v>0</v>
      </c>
      <c r="R1823" s="1575"/>
      <c r="S1823" s="1575"/>
      <c r="T1823" s="1575"/>
      <c r="U1823" s="1575"/>
    </row>
    <row r="1824" spans="1:21" ht="19.149999999999999" customHeight="1">
      <c r="A1824" s="1574" t="s">
        <v>1322</v>
      </c>
      <c r="B1824" s="1574"/>
      <c r="C1824" s="1574" t="s">
        <v>2711</v>
      </c>
      <c r="D1824" s="1574"/>
      <c r="E1824" s="1574"/>
      <c r="F1824" s="1574" t="s">
        <v>2418</v>
      </c>
      <c r="G1824" s="1574"/>
      <c r="H1824" s="1574"/>
      <c r="I1824" s="1574"/>
      <c r="J1824" s="1412">
        <v>0</v>
      </c>
      <c r="K1824" s="1412">
        <v>0</v>
      </c>
      <c r="L1824" s="1412">
        <v>36630.99</v>
      </c>
      <c r="M1824" s="1575">
        <v>36630.99</v>
      </c>
      <c r="N1824" s="1575"/>
      <c r="O1824" s="1575">
        <v>0</v>
      </c>
      <c r="P1824" s="1575"/>
      <c r="Q1824" s="1575">
        <v>0</v>
      </c>
      <c r="R1824" s="1575"/>
      <c r="S1824" s="1575"/>
      <c r="T1824" s="1575"/>
      <c r="U1824" s="1575"/>
    </row>
    <row r="1825" spans="1:23" ht="19.149999999999999" customHeight="1">
      <c r="A1825" s="1574" t="s">
        <v>1322</v>
      </c>
      <c r="B1825" s="1574"/>
      <c r="C1825" s="1574" t="s">
        <v>5840</v>
      </c>
      <c r="D1825" s="1574"/>
      <c r="E1825" s="1574"/>
      <c r="F1825" s="1574" t="s">
        <v>2474</v>
      </c>
      <c r="G1825" s="1574"/>
      <c r="H1825" s="1574"/>
      <c r="I1825" s="1574"/>
      <c r="J1825" s="1412">
        <v>0</v>
      </c>
      <c r="K1825" s="1412">
        <v>0</v>
      </c>
      <c r="L1825" s="1412">
        <v>4793.03</v>
      </c>
      <c r="M1825" s="1575">
        <v>4793.03</v>
      </c>
      <c r="N1825" s="1575"/>
      <c r="O1825" s="1575">
        <v>0</v>
      </c>
      <c r="P1825" s="1575"/>
      <c r="Q1825" s="1575">
        <v>0</v>
      </c>
      <c r="R1825" s="1575"/>
      <c r="S1825" s="1575"/>
      <c r="T1825" s="1575"/>
      <c r="U1825" s="1575"/>
    </row>
    <row r="1826" spans="1:23" ht="19.149999999999999" customHeight="1">
      <c r="A1826" s="1574" t="s">
        <v>1322</v>
      </c>
      <c r="B1826" s="1574"/>
      <c r="C1826" s="1574" t="s">
        <v>3333</v>
      </c>
      <c r="D1826" s="1574"/>
      <c r="E1826" s="1574"/>
      <c r="F1826" s="1574" t="s">
        <v>2476</v>
      </c>
      <c r="G1826" s="1574"/>
      <c r="H1826" s="1574"/>
      <c r="I1826" s="1574"/>
      <c r="J1826" s="1412">
        <v>0</v>
      </c>
      <c r="K1826" s="1412">
        <v>0</v>
      </c>
      <c r="L1826" s="1412">
        <v>74199.78</v>
      </c>
      <c r="M1826" s="1575">
        <v>74199.78</v>
      </c>
      <c r="N1826" s="1575"/>
      <c r="O1826" s="1575">
        <v>0</v>
      </c>
      <c r="P1826" s="1575"/>
      <c r="Q1826" s="1575">
        <v>0</v>
      </c>
      <c r="R1826" s="1575"/>
      <c r="S1826" s="1575"/>
      <c r="T1826" s="1575"/>
      <c r="U1826" s="1575"/>
    </row>
    <row r="1827" spans="1:23" ht="19.149999999999999" customHeight="1">
      <c r="A1827" s="1574" t="s">
        <v>1322</v>
      </c>
      <c r="B1827" s="1574"/>
      <c r="C1827" s="1574" t="s">
        <v>4025</v>
      </c>
      <c r="D1827" s="1574"/>
      <c r="E1827" s="1574"/>
      <c r="F1827" s="1574" t="s">
        <v>2478</v>
      </c>
      <c r="G1827" s="1574"/>
      <c r="H1827" s="1574"/>
      <c r="I1827" s="1574"/>
      <c r="J1827" s="1412">
        <v>0</v>
      </c>
      <c r="K1827" s="1412">
        <v>0</v>
      </c>
      <c r="L1827" s="1412">
        <v>0</v>
      </c>
      <c r="M1827" s="1575">
        <v>0</v>
      </c>
      <c r="N1827" s="1575"/>
      <c r="O1827" s="1575">
        <v>0</v>
      </c>
      <c r="P1827" s="1575"/>
      <c r="Q1827" s="1575">
        <v>0</v>
      </c>
      <c r="R1827" s="1575"/>
      <c r="S1827" s="1575"/>
      <c r="T1827" s="1575"/>
      <c r="U1827" s="1575"/>
    </row>
    <row r="1828" spans="1:23" ht="19.149999999999999" customHeight="1">
      <c r="A1828" s="1574" t="s">
        <v>1322</v>
      </c>
      <c r="B1828" s="1574"/>
      <c r="C1828" s="1574" t="s">
        <v>5841</v>
      </c>
      <c r="D1828" s="1574"/>
      <c r="E1828" s="1574"/>
      <c r="F1828" s="1574" t="s">
        <v>2482</v>
      </c>
      <c r="G1828" s="1574"/>
      <c r="H1828" s="1574"/>
      <c r="I1828" s="1574"/>
      <c r="J1828" s="1412">
        <v>0</v>
      </c>
      <c r="K1828" s="1412">
        <v>0</v>
      </c>
      <c r="L1828" s="1412">
        <v>3150</v>
      </c>
      <c r="M1828" s="1575">
        <v>3150</v>
      </c>
      <c r="N1828" s="1575"/>
      <c r="O1828" s="1575">
        <v>0</v>
      </c>
      <c r="P1828" s="1575"/>
      <c r="Q1828" s="1575">
        <v>0</v>
      </c>
      <c r="R1828" s="1575"/>
      <c r="S1828" s="1575"/>
      <c r="T1828" s="1575"/>
      <c r="U1828" s="1575"/>
    </row>
    <row r="1829" spans="1:23" ht="6.95" customHeight="1"/>
    <row r="1830" spans="1:23" ht="14.1" customHeight="1">
      <c r="S1830" s="1573" t="s">
        <v>6568</v>
      </c>
      <c r="T1830" s="1573"/>
      <c r="U1830" s="1573"/>
      <c r="V1830" s="1573"/>
      <c r="W1830" s="1573"/>
    </row>
    <row r="1831" spans="1:23" ht="7.15" customHeight="1">
      <c r="C1831" s="1586" t="s">
        <v>2987</v>
      </c>
      <c r="D1831" s="1586"/>
      <c r="E1831" s="1586"/>
      <c r="F1831" s="1586"/>
      <c r="G1831" s="1586"/>
      <c r="H1831" s="1586"/>
      <c r="I1831" s="1586"/>
      <c r="J1831" s="1586"/>
      <c r="K1831" s="1586"/>
      <c r="L1831" s="1586"/>
      <c r="M1831" s="1586"/>
      <c r="N1831" s="1586"/>
      <c r="O1831" s="1586"/>
      <c r="P1831" s="1586"/>
      <c r="Q1831" s="1586"/>
      <c r="R1831" s="1586"/>
      <c r="S1831" s="1586"/>
      <c r="T1831" s="1586"/>
    </row>
    <row r="1832" spans="1:23" ht="9.6" customHeight="1">
      <c r="A1832" s="1587"/>
      <c r="B1832" s="1587"/>
      <c r="C1832" s="1587"/>
      <c r="D1832" s="1587"/>
      <c r="E1832" s="1587"/>
      <c r="F1832" s="1587"/>
      <c r="G1832" s="1586"/>
      <c r="H1832" s="1586"/>
      <c r="I1832" s="1586"/>
      <c r="J1832" s="1586"/>
      <c r="K1832" s="1586"/>
      <c r="L1832" s="1586"/>
      <c r="M1832" s="1586"/>
      <c r="N1832" s="1586"/>
      <c r="O1832" s="1586"/>
      <c r="P1832" s="1586"/>
      <c r="Q1832" s="1586"/>
      <c r="R1832" s="1586"/>
      <c r="S1832" s="1586"/>
      <c r="T1832" s="1586"/>
    </row>
    <row r="1833" spans="1:23" ht="13.35" customHeight="1">
      <c r="A1833" s="1587"/>
      <c r="B1833" s="1587"/>
      <c r="C1833" s="1587"/>
      <c r="D1833" s="1587"/>
      <c r="E1833" s="1587"/>
      <c r="F1833" s="1587"/>
      <c r="G1833" s="1588" t="s">
        <v>79</v>
      </c>
      <c r="H1833" s="1588"/>
      <c r="I1833" s="1588"/>
      <c r="J1833" s="1588"/>
      <c r="K1833" s="1588"/>
      <c r="L1833" s="1588"/>
      <c r="M1833" s="1588"/>
      <c r="N1833" s="1588"/>
      <c r="O1833" s="1588"/>
      <c r="P1833" s="1588"/>
      <c r="Q1833" s="1588"/>
      <c r="R1833" s="1588"/>
    </row>
    <row r="1834" spans="1:23" ht="5.25" customHeight="1">
      <c r="A1834" s="1587"/>
      <c r="B1834" s="1587"/>
      <c r="C1834" s="1587"/>
      <c r="D1834" s="1587"/>
      <c r="E1834" s="1587"/>
      <c r="F1834" s="1587"/>
      <c r="G1834" s="1581" t="s">
        <v>7015</v>
      </c>
      <c r="H1834" s="1581"/>
      <c r="I1834" s="1581"/>
      <c r="J1834" s="1581"/>
      <c r="K1834" s="1581"/>
      <c r="L1834" s="1581"/>
      <c r="M1834" s="1581"/>
      <c r="N1834" s="1581"/>
      <c r="O1834" s="1581"/>
      <c r="P1834" s="1581"/>
      <c r="Q1834" s="1581"/>
    </row>
    <row r="1835" spans="1:23" ht="8.1" customHeight="1">
      <c r="B1835" s="1580" t="s">
        <v>1916</v>
      </c>
      <c r="C1835" s="1580"/>
      <c r="D1835" s="1580"/>
      <c r="E1835" s="1580"/>
      <c r="F1835" s="1580"/>
      <c r="G1835" s="1580"/>
      <c r="H1835" s="1581"/>
      <c r="I1835" s="1581"/>
      <c r="J1835" s="1581"/>
      <c r="K1835" s="1581"/>
      <c r="L1835" s="1581"/>
      <c r="M1835" s="1581"/>
      <c r="N1835" s="1582" t="s">
        <v>5619</v>
      </c>
      <c r="O1835" s="1582"/>
      <c r="P1835" s="1582"/>
      <c r="Q1835" s="1582"/>
      <c r="R1835" s="1582"/>
      <c r="S1835" s="1582"/>
      <c r="T1835" s="1583" t="s">
        <v>7016</v>
      </c>
      <c r="U1835" s="1583"/>
      <c r="V1835" s="1583"/>
      <c r="W1835" s="1583"/>
    </row>
    <row r="1836" spans="1:23" ht="6" customHeight="1">
      <c r="B1836" s="1580"/>
      <c r="C1836" s="1580"/>
      <c r="D1836" s="1580"/>
      <c r="E1836" s="1580"/>
      <c r="F1836" s="1580"/>
      <c r="G1836" s="1580"/>
      <c r="H1836" s="1584" t="s">
        <v>7017</v>
      </c>
      <c r="I1836" s="1584"/>
      <c r="J1836" s="1584"/>
      <c r="K1836" s="1584"/>
      <c r="L1836" s="1584"/>
      <c r="M1836" s="1584"/>
      <c r="N1836" s="1582"/>
      <c r="O1836" s="1582"/>
      <c r="P1836" s="1582"/>
      <c r="Q1836" s="1582"/>
      <c r="R1836" s="1582"/>
      <c r="S1836" s="1582"/>
      <c r="T1836" s="1583"/>
      <c r="U1836" s="1583"/>
      <c r="V1836" s="1583"/>
      <c r="W1836" s="1583"/>
    </row>
    <row r="1837" spans="1:23" ht="7.35" customHeight="1">
      <c r="B1837" s="1580" t="s">
        <v>1994</v>
      </c>
      <c r="C1837" s="1580"/>
      <c r="D1837" s="1580"/>
      <c r="E1837" s="1585"/>
      <c r="F1837" s="1585"/>
      <c r="G1837" s="1585"/>
      <c r="H1837" s="1585"/>
      <c r="I1837" s="1585"/>
      <c r="J1837" s="1585"/>
      <c r="K1837" s="1585"/>
      <c r="L1837" s="1585"/>
      <c r="M1837" s="1585"/>
      <c r="N1837" s="1585"/>
      <c r="O1837" s="1585"/>
      <c r="P1837" s="1585"/>
      <c r="Q1837" s="1585"/>
      <c r="R1837" s="1582"/>
      <c r="S1837" s="1582"/>
      <c r="T1837" s="1582" t="s">
        <v>7018</v>
      </c>
      <c r="U1837" s="1582"/>
    </row>
    <row r="1838" spans="1:23" ht="6.75" customHeight="1">
      <c r="E1838" s="1585"/>
      <c r="F1838" s="1585"/>
      <c r="G1838" s="1585"/>
      <c r="H1838" s="1585"/>
      <c r="I1838" s="1585"/>
      <c r="J1838" s="1585"/>
      <c r="K1838" s="1585"/>
      <c r="L1838" s="1585"/>
      <c r="M1838" s="1585"/>
      <c r="N1838" s="1585"/>
      <c r="O1838" s="1585"/>
      <c r="P1838" s="1585"/>
      <c r="Q1838" s="1585"/>
      <c r="R1838" s="1582"/>
      <c r="S1838" s="1582"/>
      <c r="T1838" s="1582"/>
      <c r="U1838" s="1582"/>
    </row>
    <row r="1839" spans="1:23" ht="10.9" customHeight="1">
      <c r="A1839" s="1576"/>
      <c r="B1839" s="1576"/>
      <c r="C1839" s="1576"/>
      <c r="D1839" s="1576"/>
      <c r="E1839" s="1576"/>
      <c r="F1839" s="1576"/>
      <c r="G1839" s="1576"/>
      <c r="H1839" s="1576"/>
      <c r="I1839" s="1576"/>
      <c r="J1839" s="1577" t="s">
        <v>1314</v>
      </c>
      <c r="K1839" s="1577"/>
      <c r="L1839" s="1577" t="s">
        <v>1315</v>
      </c>
      <c r="M1839" s="1577"/>
      <c r="N1839" s="1577"/>
      <c r="O1839" s="1577" t="s">
        <v>1316</v>
      </c>
      <c r="P1839" s="1577"/>
      <c r="Q1839" s="1577"/>
      <c r="R1839" s="1577"/>
      <c r="S1839" s="1577"/>
      <c r="T1839" s="1577"/>
      <c r="U1839" s="1577"/>
    </row>
    <row r="1840" spans="1:23" ht="14.1" customHeight="1">
      <c r="A1840" s="1578" t="s">
        <v>1317</v>
      </c>
      <c r="B1840" s="1578"/>
      <c r="C1840" s="1578" t="s">
        <v>1318</v>
      </c>
      <c r="D1840" s="1578"/>
      <c r="E1840" s="1578"/>
      <c r="F1840" s="1578" t="s">
        <v>1319</v>
      </c>
      <c r="G1840" s="1578"/>
      <c r="H1840" s="1578"/>
      <c r="I1840" s="1578"/>
      <c r="J1840" s="1413" t="s">
        <v>1320</v>
      </c>
      <c r="K1840" s="1413" t="s">
        <v>1321</v>
      </c>
      <c r="L1840" s="1413" t="s">
        <v>1320</v>
      </c>
      <c r="M1840" s="1579" t="s">
        <v>1321</v>
      </c>
      <c r="N1840" s="1579"/>
      <c r="O1840" s="1579" t="s">
        <v>1320</v>
      </c>
      <c r="P1840" s="1579"/>
      <c r="Q1840" s="1579" t="s">
        <v>1321</v>
      </c>
      <c r="R1840" s="1579"/>
      <c r="S1840" s="1579"/>
      <c r="T1840" s="1579"/>
      <c r="U1840" s="1579"/>
    </row>
    <row r="1841" spans="1:21" ht="22.5" customHeight="1">
      <c r="A1841" s="1574" t="s">
        <v>1322</v>
      </c>
      <c r="B1841" s="1574"/>
      <c r="C1841" s="1574" t="s">
        <v>6203</v>
      </c>
      <c r="D1841" s="1574"/>
      <c r="E1841" s="1574"/>
      <c r="F1841" s="1574" t="s">
        <v>2484</v>
      </c>
      <c r="G1841" s="1574"/>
      <c r="H1841" s="1574"/>
      <c r="I1841" s="1574"/>
      <c r="J1841" s="1412">
        <v>0</v>
      </c>
      <c r="K1841" s="1412">
        <v>0</v>
      </c>
      <c r="L1841" s="1412">
        <v>0</v>
      </c>
      <c r="M1841" s="1575">
        <v>0</v>
      </c>
      <c r="N1841" s="1575"/>
      <c r="O1841" s="1575">
        <v>0</v>
      </c>
      <c r="P1841" s="1575"/>
      <c r="Q1841" s="1575">
        <v>0</v>
      </c>
      <c r="R1841" s="1575"/>
      <c r="S1841" s="1575"/>
      <c r="T1841" s="1575"/>
      <c r="U1841" s="1575"/>
    </row>
    <row r="1842" spans="1:21" ht="19.149999999999999" customHeight="1">
      <c r="A1842" s="1574" t="s">
        <v>1322</v>
      </c>
      <c r="B1842" s="1574"/>
      <c r="C1842" s="1574" t="s">
        <v>2712</v>
      </c>
      <c r="D1842" s="1574"/>
      <c r="E1842" s="1574"/>
      <c r="F1842" s="1574" t="s">
        <v>2486</v>
      </c>
      <c r="G1842" s="1574"/>
      <c r="H1842" s="1574"/>
      <c r="I1842" s="1574"/>
      <c r="J1842" s="1412">
        <v>0</v>
      </c>
      <c r="K1842" s="1412">
        <v>0</v>
      </c>
      <c r="L1842" s="1412">
        <v>20972.55</v>
      </c>
      <c r="M1842" s="1575">
        <v>20972.55</v>
      </c>
      <c r="N1842" s="1575"/>
      <c r="O1842" s="1575">
        <v>0</v>
      </c>
      <c r="P1842" s="1575"/>
      <c r="Q1842" s="1575">
        <v>0</v>
      </c>
      <c r="R1842" s="1575"/>
      <c r="S1842" s="1575"/>
      <c r="T1842" s="1575"/>
      <c r="U1842" s="1575"/>
    </row>
    <row r="1843" spans="1:21" ht="19.149999999999999" customHeight="1">
      <c r="A1843" s="1574" t="s">
        <v>1322</v>
      </c>
      <c r="B1843" s="1574"/>
      <c r="C1843" s="1574" t="s">
        <v>2713</v>
      </c>
      <c r="D1843" s="1574"/>
      <c r="E1843" s="1574"/>
      <c r="F1843" s="1574" t="s">
        <v>2488</v>
      </c>
      <c r="G1843" s="1574"/>
      <c r="H1843" s="1574"/>
      <c r="I1843" s="1574"/>
      <c r="J1843" s="1412">
        <v>0</v>
      </c>
      <c r="K1843" s="1412">
        <v>0</v>
      </c>
      <c r="L1843" s="1412">
        <v>689.66</v>
      </c>
      <c r="M1843" s="1575">
        <v>689.66</v>
      </c>
      <c r="N1843" s="1575"/>
      <c r="O1843" s="1575">
        <v>0</v>
      </c>
      <c r="P1843" s="1575"/>
      <c r="Q1843" s="1575">
        <v>0</v>
      </c>
      <c r="R1843" s="1575"/>
      <c r="S1843" s="1575"/>
      <c r="T1843" s="1575"/>
      <c r="U1843" s="1575"/>
    </row>
    <row r="1844" spans="1:21" ht="19.149999999999999" customHeight="1">
      <c r="A1844" s="1574" t="s">
        <v>1322</v>
      </c>
      <c r="B1844" s="1574"/>
      <c r="C1844" s="1574" t="s">
        <v>2714</v>
      </c>
      <c r="D1844" s="1574"/>
      <c r="E1844" s="1574"/>
      <c r="F1844" s="1574" t="s">
        <v>2490</v>
      </c>
      <c r="G1844" s="1574"/>
      <c r="H1844" s="1574"/>
      <c r="I1844" s="1574"/>
      <c r="J1844" s="1412">
        <v>0</v>
      </c>
      <c r="K1844" s="1412">
        <v>0</v>
      </c>
      <c r="L1844" s="1412">
        <v>2925</v>
      </c>
      <c r="M1844" s="1575">
        <v>2925</v>
      </c>
      <c r="N1844" s="1575"/>
      <c r="O1844" s="1575">
        <v>0</v>
      </c>
      <c r="P1844" s="1575"/>
      <c r="Q1844" s="1575">
        <v>0</v>
      </c>
      <c r="R1844" s="1575"/>
      <c r="S1844" s="1575"/>
      <c r="T1844" s="1575"/>
      <c r="U1844" s="1575"/>
    </row>
    <row r="1845" spans="1:21" ht="19.149999999999999" customHeight="1">
      <c r="A1845" s="1574" t="s">
        <v>1322</v>
      </c>
      <c r="B1845" s="1574"/>
      <c r="C1845" s="1574" t="s">
        <v>2715</v>
      </c>
      <c r="D1845" s="1574"/>
      <c r="E1845" s="1574"/>
      <c r="F1845" s="1574" t="s">
        <v>2421</v>
      </c>
      <c r="G1845" s="1574"/>
      <c r="H1845" s="1574"/>
      <c r="I1845" s="1574"/>
      <c r="J1845" s="1412">
        <v>0</v>
      </c>
      <c r="K1845" s="1412">
        <v>0</v>
      </c>
      <c r="L1845" s="1412">
        <v>7768.56</v>
      </c>
      <c r="M1845" s="1575">
        <v>7768.56</v>
      </c>
      <c r="N1845" s="1575"/>
      <c r="O1845" s="1575">
        <v>0</v>
      </c>
      <c r="P1845" s="1575"/>
      <c r="Q1845" s="1575">
        <v>0</v>
      </c>
      <c r="R1845" s="1575"/>
      <c r="S1845" s="1575"/>
      <c r="T1845" s="1575"/>
      <c r="U1845" s="1575"/>
    </row>
    <row r="1846" spans="1:21" ht="19.149999999999999" customHeight="1">
      <c r="A1846" s="1574" t="s">
        <v>1322</v>
      </c>
      <c r="B1846" s="1574"/>
      <c r="C1846" s="1574" t="s">
        <v>5984</v>
      </c>
      <c r="D1846" s="1574"/>
      <c r="E1846" s="1574"/>
      <c r="F1846" s="1574" t="s">
        <v>2493</v>
      </c>
      <c r="G1846" s="1574"/>
      <c r="H1846" s="1574"/>
      <c r="I1846" s="1574"/>
      <c r="J1846" s="1412">
        <v>0</v>
      </c>
      <c r="K1846" s="1412">
        <v>0</v>
      </c>
      <c r="L1846" s="1412">
        <v>2213.6999999999998</v>
      </c>
      <c r="M1846" s="1575">
        <v>2213.6999999999998</v>
      </c>
      <c r="N1846" s="1575"/>
      <c r="O1846" s="1575">
        <v>0</v>
      </c>
      <c r="P1846" s="1575"/>
      <c r="Q1846" s="1575">
        <v>0</v>
      </c>
      <c r="R1846" s="1575"/>
      <c r="S1846" s="1575"/>
      <c r="T1846" s="1575"/>
      <c r="U1846" s="1575"/>
    </row>
    <row r="1847" spans="1:21" ht="19.149999999999999" customHeight="1">
      <c r="A1847" s="1574" t="s">
        <v>1322</v>
      </c>
      <c r="B1847" s="1574"/>
      <c r="C1847" s="1574" t="s">
        <v>3334</v>
      </c>
      <c r="D1847" s="1574"/>
      <c r="E1847" s="1574"/>
      <c r="F1847" s="1574" t="s">
        <v>2423</v>
      </c>
      <c r="G1847" s="1574"/>
      <c r="H1847" s="1574"/>
      <c r="I1847" s="1574"/>
      <c r="J1847" s="1412">
        <v>0</v>
      </c>
      <c r="K1847" s="1412">
        <v>0</v>
      </c>
      <c r="L1847" s="1412">
        <v>3850.98</v>
      </c>
      <c r="M1847" s="1575">
        <v>3850.98</v>
      </c>
      <c r="N1847" s="1575"/>
      <c r="O1847" s="1575">
        <v>0</v>
      </c>
      <c r="P1847" s="1575"/>
      <c r="Q1847" s="1575">
        <v>0</v>
      </c>
      <c r="R1847" s="1575"/>
      <c r="S1847" s="1575"/>
      <c r="T1847" s="1575"/>
      <c r="U1847" s="1575"/>
    </row>
    <row r="1848" spans="1:21" ht="19.149999999999999" customHeight="1">
      <c r="A1848" s="1574" t="s">
        <v>1322</v>
      </c>
      <c r="B1848" s="1574"/>
      <c r="C1848" s="1574" t="s">
        <v>6474</v>
      </c>
      <c r="D1848" s="1574"/>
      <c r="E1848" s="1574"/>
      <c r="F1848" s="1574" t="s">
        <v>2496</v>
      </c>
      <c r="G1848" s="1574"/>
      <c r="H1848" s="1574"/>
      <c r="I1848" s="1574"/>
      <c r="J1848" s="1412">
        <v>0</v>
      </c>
      <c r="K1848" s="1412">
        <v>0</v>
      </c>
      <c r="L1848" s="1412">
        <v>0</v>
      </c>
      <c r="M1848" s="1575">
        <v>0</v>
      </c>
      <c r="N1848" s="1575"/>
      <c r="O1848" s="1575">
        <v>0</v>
      </c>
      <c r="P1848" s="1575"/>
      <c r="Q1848" s="1575">
        <v>0</v>
      </c>
      <c r="R1848" s="1575"/>
      <c r="S1848" s="1575"/>
      <c r="T1848" s="1575"/>
      <c r="U1848" s="1575"/>
    </row>
    <row r="1849" spans="1:21" ht="19.149999999999999" customHeight="1">
      <c r="A1849" s="1574" t="s">
        <v>1322</v>
      </c>
      <c r="B1849" s="1574"/>
      <c r="C1849" s="1574" t="s">
        <v>5842</v>
      </c>
      <c r="D1849" s="1574"/>
      <c r="E1849" s="1574"/>
      <c r="F1849" s="1574" t="s">
        <v>2498</v>
      </c>
      <c r="G1849" s="1574"/>
      <c r="H1849" s="1574"/>
      <c r="I1849" s="1574"/>
      <c r="J1849" s="1412">
        <v>0</v>
      </c>
      <c r="K1849" s="1412">
        <v>0</v>
      </c>
      <c r="L1849" s="1412">
        <v>250</v>
      </c>
      <c r="M1849" s="1575">
        <v>250</v>
      </c>
      <c r="N1849" s="1575"/>
      <c r="O1849" s="1575">
        <v>0</v>
      </c>
      <c r="P1849" s="1575"/>
      <c r="Q1849" s="1575">
        <v>0</v>
      </c>
      <c r="R1849" s="1575"/>
      <c r="S1849" s="1575"/>
      <c r="T1849" s="1575"/>
      <c r="U1849" s="1575"/>
    </row>
    <row r="1850" spans="1:21" ht="19.149999999999999" customHeight="1">
      <c r="A1850" s="1574" t="s">
        <v>1322</v>
      </c>
      <c r="B1850" s="1574"/>
      <c r="C1850" s="1574" t="s">
        <v>2716</v>
      </c>
      <c r="D1850" s="1574"/>
      <c r="E1850" s="1574"/>
      <c r="F1850" s="1574" t="s">
        <v>2500</v>
      </c>
      <c r="G1850" s="1574"/>
      <c r="H1850" s="1574"/>
      <c r="I1850" s="1574"/>
      <c r="J1850" s="1412">
        <v>0</v>
      </c>
      <c r="K1850" s="1412">
        <v>0</v>
      </c>
      <c r="L1850" s="1412">
        <v>16731.84</v>
      </c>
      <c r="M1850" s="1575">
        <v>16731.84</v>
      </c>
      <c r="N1850" s="1575"/>
      <c r="O1850" s="1575">
        <v>0</v>
      </c>
      <c r="P1850" s="1575"/>
      <c r="Q1850" s="1575">
        <v>0</v>
      </c>
      <c r="R1850" s="1575"/>
      <c r="S1850" s="1575"/>
      <c r="T1850" s="1575"/>
      <c r="U1850" s="1575"/>
    </row>
    <row r="1851" spans="1:21" ht="19.149999999999999" customHeight="1">
      <c r="A1851" s="1574" t="s">
        <v>1322</v>
      </c>
      <c r="B1851" s="1574"/>
      <c r="C1851" s="1574" t="s">
        <v>2717</v>
      </c>
      <c r="D1851" s="1574"/>
      <c r="E1851" s="1574"/>
      <c r="F1851" s="1574" t="s">
        <v>2502</v>
      </c>
      <c r="G1851" s="1574"/>
      <c r="H1851" s="1574"/>
      <c r="I1851" s="1574"/>
      <c r="J1851" s="1412">
        <v>0</v>
      </c>
      <c r="K1851" s="1412">
        <v>0</v>
      </c>
      <c r="L1851" s="1412">
        <v>154247.09</v>
      </c>
      <c r="M1851" s="1575">
        <v>154247.09</v>
      </c>
      <c r="N1851" s="1575"/>
      <c r="O1851" s="1575">
        <v>0</v>
      </c>
      <c r="P1851" s="1575"/>
      <c r="Q1851" s="1575">
        <v>0</v>
      </c>
      <c r="R1851" s="1575"/>
      <c r="S1851" s="1575"/>
      <c r="T1851" s="1575"/>
      <c r="U1851" s="1575"/>
    </row>
    <row r="1852" spans="1:21" ht="19.149999999999999" customHeight="1">
      <c r="A1852" s="1574" t="s">
        <v>1322</v>
      </c>
      <c r="B1852" s="1574"/>
      <c r="C1852" s="1574" t="s">
        <v>2718</v>
      </c>
      <c r="D1852" s="1574"/>
      <c r="E1852" s="1574"/>
      <c r="F1852" s="1574" t="s">
        <v>2509</v>
      </c>
      <c r="G1852" s="1574"/>
      <c r="H1852" s="1574"/>
      <c r="I1852" s="1574"/>
      <c r="J1852" s="1412">
        <v>0</v>
      </c>
      <c r="K1852" s="1412">
        <v>0</v>
      </c>
      <c r="L1852" s="1412">
        <v>10510.74</v>
      </c>
      <c r="M1852" s="1575">
        <v>10510.74</v>
      </c>
      <c r="N1852" s="1575"/>
      <c r="O1852" s="1575">
        <v>0</v>
      </c>
      <c r="P1852" s="1575"/>
      <c r="Q1852" s="1575">
        <v>0</v>
      </c>
      <c r="R1852" s="1575"/>
      <c r="S1852" s="1575"/>
      <c r="T1852" s="1575"/>
      <c r="U1852" s="1575"/>
    </row>
    <row r="1853" spans="1:21" ht="19.149999999999999" customHeight="1">
      <c r="A1853" s="1574" t="s">
        <v>1322</v>
      </c>
      <c r="B1853" s="1574"/>
      <c r="C1853" s="1574" t="s">
        <v>2719</v>
      </c>
      <c r="D1853" s="1574"/>
      <c r="E1853" s="1574"/>
      <c r="F1853" s="1574" t="s">
        <v>2511</v>
      </c>
      <c r="G1853" s="1574"/>
      <c r="H1853" s="1574"/>
      <c r="I1853" s="1574"/>
      <c r="J1853" s="1412">
        <v>0</v>
      </c>
      <c r="K1853" s="1412">
        <v>0</v>
      </c>
      <c r="L1853" s="1412">
        <v>133763.01</v>
      </c>
      <c r="M1853" s="1575">
        <v>133763.01</v>
      </c>
      <c r="N1853" s="1575"/>
      <c r="O1853" s="1575">
        <v>0</v>
      </c>
      <c r="P1853" s="1575"/>
      <c r="Q1853" s="1575">
        <v>0</v>
      </c>
      <c r="R1853" s="1575"/>
      <c r="S1853" s="1575"/>
      <c r="T1853" s="1575"/>
      <c r="U1853" s="1575"/>
    </row>
    <row r="1854" spans="1:21" ht="19.149999999999999" customHeight="1">
      <c r="A1854" s="1574" t="s">
        <v>1322</v>
      </c>
      <c r="B1854" s="1574"/>
      <c r="C1854" s="1574" t="s">
        <v>2968</v>
      </c>
      <c r="D1854" s="1574"/>
      <c r="E1854" s="1574"/>
      <c r="F1854" s="1574" t="s">
        <v>2513</v>
      </c>
      <c r="G1854" s="1574"/>
      <c r="H1854" s="1574"/>
      <c r="I1854" s="1574"/>
      <c r="J1854" s="1412">
        <v>0</v>
      </c>
      <c r="K1854" s="1412">
        <v>0</v>
      </c>
      <c r="L1854" s="1412">
        <v>139793.91</v>
      </c>
      <c r="M1854" s="1575">
        <v>139793.91</v>
      </c>
      <c r="N1854" s="1575"/>
      <c r="O1854" s="1575">
        <v>0</v>
      </c>
      <c r="P1854" s="1575"/>
      <c r="Q1854" s="1575">
        <v>0</v>
      </c>
      <c r="R1854" s="1575"/>
      <c r="S1854" s="1575"/>
      <c r="T1854" s="1575"/>
      <c r="U1854" s="1575"/>
    </row>
    <row r="1855" spans="1:21" ht="19.149999999999999" customHeight="1">
      <c r="A1855" s="1574" t="s">
        <v>1322</v>
      </c>
      <c r="B1855" s="1574"/>
      <c r="C1855" s="1574" t="s">
        <v>2720</v>
      </c>
      <c r="D1855" s="1574"/>
      <c r="E1855" s="1574"/>
      <c r="F1855" s="1574" t="s">
        <v>2387</v>
      </c>
      <c r="G1855" s="1574"/>
      <c r="H1855" s="1574"/>
      <c r="I1855" s="1574"/>
      <c r="J1855" s="1412">
        <v>0</v>
      </c>
      <c r="K1855" s="1412">
        <v>0</v>
      </c>
      <c r="L1855" s="1412">
        <v>145905.60000000001</v>
      </c>
      <c r="M1855" s="1575">
        <v>145905.60000000001</v>
      </c>
      <c r="N1855" s="1575"/>
      <c r="O1855" s="1575">
        <v>0</v>
      </c>
      <c r="P1855" s="1575"/>
      <c r="Q1855" s="1575">
        <v>0</v>
      </c>
      <c r="R1855" s="1575"/>
      <c r="S1855" s="1575"/>
      <c r="T1855" s="1575"/>
      <c r="U1855" s="1575"/>
    </row>
    <row r="1856" spans="1:21" ht="19.149999999999999" customHeight="1">
      <c r="A1856" s="1574" t="s">
        <v>1322</v>
      </c>
      <c r="B1856" s="1574"/>
      <c r="C1856" s="1574" t="s">
        <v>6565</v>
      </c>
      <c r="D1856" s="1574"/>
      <c r="E1856" s="1574"/>
      <c r="F1856" s="1574" t="s">
        <v>2390</v>
      </c>
      <c r="G1856" s="1574"/>
      <c r="H1856" s="1574"/>
      <c r="I1856" s="1574"/>
      <c r="J1856" s="1412">
        <v>0</v>
      </c>
      <c r="K1856" s="1412">
        <v>0</v>
      </c>
      <c r="L1856" s="1412">
        <v>222414.33</v>
      </c>
      <c r="M1856" s="1575">
        <v>222414.33</v>
      </c>
      <c r="N1856" s="1575"/>
      <c r="O1856" s="1575">
        <v>0</v>
      </c>
      <c r="P1856" s="1575"/>
      <c r="Q1856" s="1575">
        <v>0</v>
      </c>
      <c r="R1856" s="1575"/>
      <c r="S1856" s="1575"/>
      <c r="T1856" s="1575"/>
      <c r="U1856" s="1575"/>
    </row>
    <row r="1857" spans="1:23" ht="19.149999999999999" customHeight="1">
      <c r="A1857" s="1574" t="s">
        <v>1322</v>
      </c>
      <c r="B1857" s="1574"/>
      <c r="C1857" s="1574" t="s">
        <v>6566</v>
      </c>
      <c r="D1857" s="1574"/>
      <c r="E1857" s="1574"/>
      <c r="F1857" s="1574" t="s">
        <v>2392</v>
      </c>
      <c r="G1857" s="1574"/>
      <c r="H1857" s="1574"/>
      <c r="I1857" s="1574"/>
      <c r="J1857" s="1412">
        <v>0</v>
      </c>
      <c r="K1857" s="1412">
        <v>0</v>
      </c>
      <c r="L1857" s="1412">
        <v>11478.46</v>
      </c>
      <c r="M1857" s="1575">
        <v>11478.46</v>
      </c>
      <c r="N1857" s="1575"/>
      <c r="O1857" s="1575">
        <v>0</v>
      </c>
      <c r="P1857" s="1575"/>
      <c r="Q1857" s="1575">
        <v>0</v>
      </c>
      <c r="R1857" s="1575"/>
      <c r="S1857" s="1575"/>
      <c r="T1857" s="1575"/>
      <c r="U1857" s="1575"/>
    </row>
    <row r="1858" spans="1:23" ht="19.149999999999999" customHeight="1">
      <c r="A1858" s="1574" t="s">
        <v>1322</v>
      </c>
      <c r="B1858" s="1574"/>
      <c r="C1858" s="1574" t="s">
        <v>2721</v>
      </c>
      <c r="D1858" s="1574"/>
      <c r="E1858" s="1574"/>
      <c r="F1858" s="1574" t="s">
        <v>2396</v>
      </c>
      <c r="G1858" s="1574"/>
      <c r="H1858" s="1574"/>
      <c r="I1858" s="1574"/>
      <c r="J1858" s="1412">
        <v>0</v>
      </c>
      <c r="K1858" s="1412">
        <v>0</v>
      </c>
      <c r="L1858" s="1412">
        <v>37205.94</v>
      </c>
      <c r="M1858" s="1575">
        <v>37205.94</v>
      </c>
      <c r="N1858" s="1575"/>
      <c r="O1858" s="1575">
        <v>0</v>
      </c>
      <c r="P1858" s="1575"/>
      <c r="Q1858" s="1575">
        <v>0</v>
      </c>
      <c r="R1858" s="1575"/>
      <c r="S1858" s="1575"/>
      <c r="T1858" s="1575"/>
      <c r="U1858" s="1575"/>
    </row>
    <row r="1859" spans="1:23" ht="19.149999999999999" customHeight="1">
      <c r="A1859" s="1574" t="s">
        <v>1322</v>
      </c>
      <c r="B1859" s="1574"/>
      <c r="C1859" s="1574" t="s">
        <v>2722</v>
      </c>
      <c r="D1859" s="1574"/>
      <c r="E1859" s="1574"/>
      <c r="F1859" s="1574" t="s">
        <v>2398</v>
      </c>
      <c r="G1859" s="1574"/>
      <c r="H1859" s="1574"/>
      <c r="I1859" s="1574"/>
      <c r="J1859" s="1412">
        <v>0</v>
      </c>
      <c r="K1859" s="1412">
        <v>0</v>
      </c>
      <c r="L1859" s="1412">
        <v>475.36</v>
      </c>
      <c r="M1859" s="1575">
        <v>475.36</v>
      </c>
      <c r="N1859" s="1575"/>
      <c r="O1859" s="1575">
        <v>0</v>
      </c>
      <c r="P1859" s="1575"/>
      <c r="Q1859" s="1575">
        <v>0</v>
      </c>
      <c r="R1859" s="1575"/>
      <c r="S1859" s="1575"/>
      <c r="T1859" s="1575"/>
      <c r="U1859" s="1575"/>
    </row>
    <row r="1860" spans="1:23" ht="19.149999999999999" customHeight="1">
      <c r="A1860" s="1574" t="s">
        <v>1322</v>
      </c>
      <c r="B1860" s="1574"/>
      <c r="C1860" s="1574" t="s">
        <v>2723</v>
      </c>
      <c r="D1860" s="1574"/>
      <c r="E1860" s="1574"/>
      <c r="F1860" s="1574" t="s">
        <v>2400</v>
      </c>
      <c r="G1860" s="1574"/>
      <c r="H1860" s="1574"/>
      <c r="I1860" s="1574"/>
      <c r="J1860" s="1412">
        <v>0</v>
      </c>
      <c r="K1860" s="1412">
        <v>0</v>
      </c>
      <c r="L1860" s="1412">
        <v>0</v>
      </c>
      <c r="M1860" s="1575">
        <v>0</v>
      </c>
      <c r="N1860" s="1575"/>
      <c r="O1860" s="1575">
        <v>0</v>
      </c>
      <c r="P1860" s="1575"/>
      <c r="Q1860" s="1575">
        <v>0</v>
      </c>
      <c r="R1860" s="1575"/>
      <c r="S1860" s="1575"/>
      <c r="T1860" s="1575"/>
      <c r="U1860" s="1575"/>
    </row>
    <row r="1861" spans="1:23" ht="19.149999999999999" customHeight="1">
      <c r="A1861" s="1574" t="s">
        <v>1322</v>
      </c>
      <c r="B1861" s="1574"/>
      <c r="C1861" s="1574" t="s">
        <v>2724</v>
      </c>
      <c r="D1861" s="1574"/>
      <c r="E1861" s="1574"/>
      <c r="F1861" s="1574" t="s">
        <v>2402</v>
      </c>
      <c r="G1861" s="1574"/>
      <c r="H1861" s="1574"/>
      <c r="I1861" s="1574"/>
      <c r="J1861" s="1412">
        <v>0</v>
      </c>
      <c r="K1861" s="1412">
        <v>0</v>
      </c>
      <c r="L1861" s="1412">
        <v>10171.700000000001</v>
      </c>
      <c r="M1861" s="1575">
        <v>10171.700000000001</v>
      </c>
      <c r="N1861" s="1575"/>
      <c r="O1861" s="1575">
        <v>0</v>
      </c>
      <c r="P1861" s="1575"/>
      <c r="Q1861" s="1575">
        <v>0</v>
      </c>
      <c r="R1861" s="1575"/>
      <c r="S1861" s="1575"/>
      <c r="T1861" s="1575"/>
      <c r="U1861" s="1575"/>
    </row>
    <row r="1862" spans="1:23" ht="19.149999999999999" customHeight="1">
      <c r="A1862" s="1574" t="s">
        <v>1322</v>
      </c>
      <c r="B1862" s="1574"/>
      <c r="C1862" s="1574" t="s">
        <v>2725</v>
      </c>
      <c r="D1862" s="1574"/>
      <c r="E1862" s="1574"/>
      <c r="F1862" s="1574" t="s">
        <v>2419</v>
      </c>
      <c r="G1862" s="1574"/>
      <c r="H1862" s="1574"/>
      <c r="I1862" s="1574"/>
      <c r="J1862" s="1412">
        <v>0</v>
      </c>
      <c r="K1862" s="1412">
        <v>0</v>
      </c>
      <c r="L1862" s="1412">
        <v>981970</v>
      </c>
      <c r="M1862" s="1575">
        <v>981970</v>
      </c>
      <c r="N1862" s="1575"/>
      <c r="O1862" s="1575">
        <v>0</v>
      </c>
      <c r="P1862" s="1575"/>
      <c r="Q1862" s="1575">
        <v>0</v>
      </c>
      <c r="R1862" s="1575"/>
      <c r="S1862" s="1575"/>
      <c r="T1862" s="1575"/>
      <c r="U1862" s="1575"/>
    </row>
    <row r="1863" spans="1:23" ht="19.149999999999999" customHeight="1">
      <c r="A1863" s="1574" t="s">
        <v>1322</v>
      </c>
      <c r="B1863" s="1574"/>
      <c r="C1863" s="1574" t="s">
        <v>2726</v>
      </c>
      <c r="D1863" s="1574"/>
      <c r="E1863" s="1574"/>
      <c r="F1863" s="1574" t="s">
        <v>2524</v>
      </c>
      <c r="G1863" s="1574"/>
      <c r="H1863" s="1574"/>
      <c r="I1863" s="1574"/>
      <c r="J1863" s="1412">
        <v>0</v>
      </c>
      <c r="K1863" s="1412">
        <v>0</v>
      </c>
      <c r="L1863" s="1412">
        <v>12854.08</v>
      </c>
      <c r="M1863" s="1575">
        <v>12854.08</v>
      </c>
      <c r="N1863" s="1575"/>
      <c r="O1863" s="1575">
        <v>0</v>
      </c>
      <c r="P1863" s="1575"/>
      <c r="Q1863" s="1575">
        <v>0</v>
      </c>
      <c r="R1863" s="1575"/>
      <c r="S1863" s="1575"/>
      <c r="T1863" s="1575"/>
      <c r="U1863" s="1575"/>
    </row>
    <row r="1864" spans="1:23" ht="6.95" customHeight="1"/>
    <row r="1865" spans="1:23" ht="14.1" customHeight="1">
      <c r="S1865" s="1573" t="s">
        <v>6569</v>
      </c>
      <c r="T1865" s="1573"/>
      <c r="U1865" s="1573"/>
      <c r="V1865" s="1573"/>
      <c r="W1865" s="1573"/>
    </row>
    <row r="1866" spans="1:23" ht="7.15" customHeight="1">
      <c r="C1866" s="1586" t="s">
        <v>2987</v>
      </c>
      <c r="D1866" s="1586"/>
      <c r="E1866" s="1586"/>
      <c r="F1866" s="1586"/>
      <c r="G1866" s="1586"/>
      <c r="H1866" s="1586"/>
      <c r="I1866" s="1586"/>
      <c r="J1866" s="1586"/>
      <c r="K1866" s="1586"/>
      <c r="L1866" s="1586"/>
      <c r="M1866" s="1586"/>
      <c r="N1866" s="1586"/>
      <c r="O1866" s="1586"/>
      <c r="P1866" s="1586"/>
      <c r="Q1866" s="1586"/>
      <c r="R1866" s="1586"/>
      <c r="S1866" s="1586"/>
      <c r="T1866" s="1586"/>
    </row>
    <row r="1867" spans="1:23" ht="9.6" customHeight="1">
      <c r="A1867" s="1587"/>
      <c r="B1867" s="1587"/>
      <c r="C1867" s="1587"/>
      <c r="D1867" s="1587"/>
      <c r="E1867" s="1587"/>
      <c r="F1867" s="1587"/>
      <c r="G1867" s="1586"/>
      <c r="H1867" s="1586"/>
      <c r="I1867" s="1586"/>
      <c r="J1867" s="1586"/>
      <c r="K1867" s="1586"/>
      <c r="L1867" s="1586"/>
      <c r="M1867" s="1586"/>
      <c r="N1867" s="1586"/>
      <c r="O1867" s="1586"/>
      <c r="P1867" s="1586"/>
      <c r="Q1867" s="1586"/>
      <c r="R1867" s="1586"/>
      <c r="S1867" s="1586"/>
      <c r="T1867" s="1586"/>
    </row>
    <row r="1868" spans="1:23" ht="13.35" customHeight="1">
      <c r="A1868" s="1587"/>
      <c r="B1868" s="1587"/>
      <c r="C1868" s="1587"/>
      <c r="D1868" s="1587"/>
      <c r="E1868" s="1587"/>
      <c r="F1868" s="1587"/>
      <c r="G1868" s="1588" t="s">
        <v>79</v>
      </c>
      <c r="H1868" s="1588"/>
      <c r="I1868" s="1588"/>
      <c r="J1868" s="1588"/>
      <c r="K1868" s="1588"/>
      <c r="L1868" s="1588"/>
      <c r="M1868" s="1588"/>
      <c r="N1868" s="1588"/>
      <c r="O1868" s="1588"/>
      <c r="P1868" s="1588"/>
      <c r="Q1868" s="1588"/>
      <c r="R1868" s="1588"/>
    </row>
    <row r="1869" spans="1:23" ht="5.25" customHeight="1">
      <c r="A1869" s="1587"/>
      <c r="B1869" s="1587"/>
      <c r="C1869" s="1587"/>
      <c r="D1869" s="1587"/>
      <c r="E1869" s="1587"/>
      <c r="F1869" s="1587"/>
      <c r="G1869" s="1581" t="s">
        <v>7015</v>
      </c>
      <c r="H1869" s="1581"/>
      <c r="I1869" s="1581"/>
      <c r="J1869" s="1581"/>
      <c r="K1869" s="1581"/>
      <c r="L1869" s="1581"/>
      <c r="M1869" s="1581"/>
      <c r="N1869" s="1581"/>
      <c r="O1869" s="1581"/>
      <c r="P1869" s="1581"/>
      <c r="Q1869" s="1581"/>
    </row>
    <row r="1870" spans="1:23" ht="8.1" customHeight="1">
      <c r="B1870" s="1580" t="s">
        <v>1916</v>
      </c>
      <c r="C1870" s="1580"/>
      <c r="D1870" s="1580"/>
      <c r="E1870" s="1580"/>
      <c r="F1870" s="1580"/>
      <c r="G1870" s="1580"/>
      <c r="H1870" s="1581"/>
      <c r="I1870" s="1581"/>
      <c r="J1870" s="1581"/>
      <c r="K1870" s="1581"/>
      <c r="L1870" s="1581"/>
      <c r="M1870" s="1581"/>
      <c r="N1870" s="1582" t="s">
        <v>5619</v>
      </c>
      <c r="O1870" s="1582"/>
      <c r="P1870" s="1582"/>
      <c r="Q1870" s="1582"/>
      <c r="R1870" s="1582"/>
      <c r="S1870" s="1582"/>
      <c r="T1870" s="1583" t="s">
        <v>7016</v>
      </c>
      <c r="U1870" s="1583"/>
      <c r="V1870" s="1583"/>
      <c r="W1870" s="1583"/>
    </row>
    <row r="1871" spans="1:23" ht="6" customHeight="1">
      <c r="B1871" s="1580"/>
      <c r="C1871" s="1580"/>
      <c r="D1871" s="1580"/>
      <c r="E1871" s="1580"/>
      <c r="F1871" s="1580"/>
      <c r="G1871" s="1580"/>
      <c r="H1871" s="1584" t="s">
        <v>7017</v>
      </c>
      <c r="I1871" s="1584"/>
      <c r="J1871" s="1584"/>
      <c r="K1871" s="1584"/>
      <c r="L1871" s="1584"/>
      <c r="M1871" s="1584"/>
      <c r="N1871" s="1582"/>
      <c r="O1871" s="1582"/>
      <c r="P1871" s="1582"/>
      <c r="Q1871" s="1582"/>
      <c r="R1871" s="1582"/>
      <c r="S1871" s="1582"/>
      <c r="T1871" s="1583"/>
      <c r="U1871" s="1583"/>
      <c r="V1871" s="1583"/>
      <c r="W1871" s="1583"/>
    </row>
    <row r="1872" spans="1:23" ht="7.35" customHeight="1">
      <c r="B1872" s="1580" t="s">
        <v>1994</v>
      </c>
      <c r="C1872" s="1580"/>
      <c r="D1872" s="1580"/>
      <c r="E1872" s="1585"/>
      <c r="F1872" s="1585"/>
      <c r="G1872" s="1585"/>
      <c r="H1872" s="1585"/>
      <c r="I1872" s="1585"/>
      <c r="J1872" s="1585"/>
      <c r="K1872" s="1585"/>
      <c r="L1872" s="1585"/>
      <c r="M1872" s="1585"/>
      <c r="N1872" s="1585"/>
      <c r="O1872" s="1585"/>
      <c r="P1872" s="1585"/>
      <c r="Q1872" s="1585"/>
      <c r="R1872" s="1582"/>
      <c r="S1872" s="1582"/>
      <c r="T1872" s="1582" t="s">
        <v>7018</v>
      </c>
      <c r="U1872" s="1582"/>
    </row>
    <row r="1873" spans="1:21" ht="6.75" customHeight="1">
      <c r="E1873" s="1585"/>
      <c r="F1873" s="1585"/>
      <c r="G1873" s="1585"/>
      <c r="H1873" s="1585"/>
      <c r="I1873" s="1585"/>
      <c r="J1873" s="1585"/>
      <c r="K1873" s="1585"/>
      <c r="L1873" s="1585"/>
      <c r="M1873" s="1585"/>
      <c r="N1873" s="1585"/>
      <c r="O1873" s="1585"/>
      <c r="P1873" s="1585"/>
      <c r="Q1873" s="1585"/>
      <c r="R1873" s="1582"/>
      <c r="S1873" s="1582"/>
      <c r="T1873" s="1582"/>
      <c r="U1873" s="1582"/>
    </row>
    <row r="1874" spans="1:21" ht="10.9" customHeight="1">
      <c r="A1874" s="1576"/>
      <c r="B1874" s="1576"/>
      <c r="C1874" s="1576"/>
      <c r="D1874" s="1576"/>
      <c r="E1874" s="1576"/>
      <c r="F1874" s="1576"/>
      <c r="G1874" s="1576"/>
      <c r="H1874" s="1576"/>
      <c r="I1874" s="1576"/>
      <c r="J1874" s="1577" t="s">
        <v>1314</v>
      </c>
      <c r="K1874" s="1577"/>
      <c r="L1874" s="1577" t="s">
        <v>1315</v>
      </c>
      <c r="M1874" s="1577"/>
      <c r="N1874" s="1577"/>
      <c r="O1874" s="1577" t="s">
        <v>1316</v>
      </c>
      <c r="P1874" s="1577"/>
      <c r="Q1874" s="1577"/>
      <c r="R1874" s="1577"/>
      <c r="S1874" s="1577"/>
      <c r="T1874" s="1577"/>
      <c r="U1874" s="1577"/>
    </row>
    <row r="1875" spans="1:21" ht="14.1" customHeight="1">
      <c r="A1875" s="1578" t="s">
        <v>1317</v>
      </c>
      <c r="B1875" s="1578"/>
      <c r="C1875" s="1578" t="s">
        <v>1318</v>
      </c>
      <c r="D1875" s="1578"/>
      <c r="E1875" s="1578"/>
      <c r="F1875" s="1578" t="s">
        <v>1319</v>
      </c>
      <c r="G1875" s="1578"/>
      <c r="H1875" s="1578"/>
      <c r="I1875" s="1578"/>
      <c r="J1875" s="1413" t="s">
        <v>1320</v>
      </c>
      <c r="K1875" s="1413" t="s">
        <v>1321</v>
      </c>
      <c r="L1875" s="1413" t="s">
        <v>1320</v>
      </c>
      <c r="M1875" s="1579" t="s">
        <v>1321</v>
      </c>
      <c r="N1875" s="1579"/>
      <c r="O1875" s="1579" t="s">
        <v>1320</v>
      </c>
      <c r="P1875" s="1579"/>
      <c r="Q1875" s="1579" t="s">
        <v>1321</v>
      </c>
      <c r="R1875" s="1579"/>
      <c r="S1875" s="1579"/>
      <c r="T1875" s="1579"/>
      <c r="U1875" s="1579"/>
    </row>
    <row r="1876" spans="1:21" ht="22.5" customHeight="1">
      <c r="A1876" s="1574" t="s">
        <v>1322</v>
      </c>
      <c r="B1876" s="1574"/>
      <c r="C1876" s="1574" t="s">
        <v>3117</v>
      </c>
      <c r="D1876" s="1574"/>
      <c r="E1876" s="1574"/>
      <c r="F1876" s="1574" t="s">
        <v>2528</v>
      </c>
      <c r="G1876" s="1574"/>
      <c r="H1876" s="1574"/>
      <c r="I1876" s="1574"/>
      <c r="J1876" s="1412">
        <v>0</v>
      </c>
      <c r="K1876" s="1412">
        <v>0</v>
      </c>
      <c r="L1876" s="1412">
        <v>28218</v>
      </c>
      <c r="M1876" s="1575">
        <v>28218</v>
      </c>
      <c r="N1876" s="1575"/>
      <c r="O1876" s="1575">
        <v>0</v>
      </c>
      <c r="P1876" s="1575"/>
      <c r="Q1876" s="1575">
        <v>0</v>
      </c>
      <c r="R1876" s="1575"/>
      <c r="S1876" s="1575"/>
      <c r="T1876" s="1575"/>
      <c r="U1876" s="1575"/>
    </row>
    <row r="1877" spans="1:21" ht="19.149999999999999" customHeight="1">
      <c r="A1877" s="1574" t="s">
        <v>1322</v>
      </c>
      <c r="B1877" s="1574"/>
      <c r="C1877" s="1574" t="s">
        <v>5843</v>
      </c>
      <c r="D1877" s="1574"/>
      <c r="E1877" s="1574"/>
      <c r="F1877" s="1574" t="s">
        <v>2530</v>
      </c>
      <c r="G1877" s="1574"/>
      <c r="H1877" s="1574"/>
      <c r="I1877" s="1574"/>
      <c r="J1877" s="1412">
        <v>0</v>
      </c>
      <c r="K1877" s="1412">
        <v>0</v>
      </c>
      <c r="L1877" s="1412">
        <v>0</v>
      </c>
      <c r="M1877" s="1575">
        <v>0</v>
      </c>
      <c r="N1877" s="1575"/>
      <c r="O1877" s="1575">
        <v>0</v>
      </c>
      <c r="P1877" s="1575"/>
      <c r="Q1877" s="1575">
        <v>0</v>
      </c>
      <c r="R1877" s="1575"/>
      <c r="S1877" s="1575"/>
      <c r="T1877" s="1575"/>
      <c r="U1877" s="1575"/>
    </row>
    <row r="1878" spans="1:21" ht="10.9" customHeight="1">
      <c r="A1878" s="1574" t="s">
        <v>1322</v>
      </c>
      <c r="B1878" s="1574"/>
      <c r="C1878" s="1574" t="s">
        <v>1697</v>
      </c>
      <c r="D1878" s="1574"/>
      <c r="E1878" s="1574"/>
      <c r="F1878" s="1574" t="s">
        <v>1698</v>
      </c>
      <c r="G1878" s="1574"/>
      <c r="H1878" s="1574"/>
      <c r="I1878" s="1574"/>
      <c r="J1878" s="1412">
        <v>0</v>
      </c>
      <c r="K1878" s="1412">
        <v>0</v>
      </c>
      <c r="L1878" s="1412">
        <v>8472251.1699999999</v>
      </c>
      <c r="M1878" s="1575">
        <v>8472251.1699999999</v>
      </c>
      <c r="N1878" s="1575"/>
      <c r="O1878" s="1575">
        <v>0</v>
      </c>
      <c r="P1878" s="1575"/>
      <c r="Q1878" s="1575">
        <v>0</v>
      </c>
      <c r="R1878" s="1575"/>
      <c r="S1878" s="1575"/>
      <c r="T1878" s="1575"/>
      <c r="U1878" s="1575"/>
    </row>
    <row r="1879" spans="1:21" ht="19.149999999999999" customHeight="1">
      <c r="A1879" s="1574" t="s">
        <v>1322</v>
      </c>
      <c r="B1879" s="1574"/>
      <c r="C1879" s="1574" t="s">
        <v>2727</v>
      </c>
      <c r="D1879" s="1574"/>
      <c r="E1879" s="1574"/>
      <c r="F1879" s="1574" t="s">
        <v>2387</v>
      </c>
      <c r="G1879" s="1574"/>
      <c r="H1879" s="1574"/>
      <c r="I1879" s="1574"/>
      <c r="J1879" s="1412">
        <v>0</v>
      </c>
      <c r="K1879" s="1412">
        <v>0</v>
      </c>
      <c r="L1879" s="1412">
        <v>46160.4</v>
      </c>
      <c r="M1879" s="1575">
        <v>46160.4</v>
      </c>
      <c r="N1879" s="1575"/>
      <c r="O1879" s="1575">
        <v>0</v>
      </c>
      <c r="P1879" s="1575"/>
      <c r="Q1879" s="1575">
        <v>0</v>
      </c>
      <c r="R1879" s="1575"/>
      <c r="S1879" s="1575"/>
      <c r="T1879" s="1575"/>
      <c r="U1879" s="1575"/>
    </row>
    <row r="1880" spans="1:21" ht="19.149999999999999" customHeight="1">
      <c r="A1880" s="1574" t="s">
        <v>1322</v>
      </c>
      <c r="B1880" s="1574"/>
      <c r="C1880" s="1574" t="s">
        <v>7068</v>
      </c>
      <c r="D1880" s="1574"/>
      <c r="E1880" s="1574"/>
      <c r="F1880" s="1574" t="s">
        <v>2390</v>
      </c>
      <c r="G1880" s="1574"/>
      <c r="H1880" s="1574"/>
      <c r="I1880" s="1574"/>
      <c r="J1880" s="1412">
        <v>0</v>
      </c>
      <c r="K1880" s="1412">
        <v>0</v>
      </c>
      <c r="L1880" s="1412">
        <v>77857.210000000006</v>
      </c>
      <c r="M1880" s="1575">
        <v>77857.210000000006</v>
      </c>
      <c r="N1880" s="1575"/>
      <c r="O1880" s="1575">
        <v>0</v>
      </c>
      <c r="P1880" s="1575"/>
      <c r="Q1880" s="1575">
        <v>0</v>
      </c>
      <c r="R1880" s="1575"/>
      <c r="S1880" s="1575"/>
      <c r="T1880" s="1575"/>
      <c r="U1880" s="1575"/>
    </row>
    <row r="1881" spans="1:21" ht="19.149999999999999" customHeight="1">
      <c r="A1881" s="1574" t="s">
        <v>1322</v>
      </c>
      <c r="B1881" s="1574"/>
      <c r="C1881" s="1574" t="s">
        <v>6365</v>
      </c>
      <c r="D1881" s="1574"/>
      <c r="E1881" s="1574"/>
      <c r="F1881" s="1574" t="s">
        <v>2392</v>
      </c>
      <c r="G1881" s="1574"/>
      <c r="H1881" s="1574"/>
      <c r="I1881" s="1574"/>
      <c r="J1881" s="1412">
        <v>0</v>
      </c>
      <c r="K1881" s="1412">
        <v>0</v>
      </c>
      <c r="L1881" s="1412">
        <v>3846.7</v>
      </c>
      <c r="M1881" s="1575">
        <v>3846.7</v>
      </c>
      <c r="N1881" s="1575"/>
      <c r="O1881" s="1575">
        <v>0</v>
      </c>
      <c r="P1881" s="1575"/>
      <c r="Q1881" s="1575">
        <v>0</v>
      </c>
      <c r="R1881" s="1575"/>
      <c r="S1881" s="1575"/>
      <c r="T1881" s="1575"/>
      <c r="U1881" s="1575"/>
    </row>
    <row r="1882" spans="1:21" ht="19.149999999999999" customHeight="1">
      <c r="A1882" s="1574" t="s">
        <v>1322</v>
      </c>
      <c r="B1882" s="1574"/>
      <c r="C1882" s="1574" t="s">
        <v>2728</v>
      </c>
      <c r="D1882" s="1574"/>
      <c r="E1882" s="1574"/>
      <c r="F1882" s="1574" t="s">
        <v>2396</v>
      </c>
      <c r="G1882" s="1574"/>
      <c r="H1882" s="1574"/>
      <c r="I1882" s="1574"/>
      <c r="J1882" s="1412">
        <v>0</v>
      </c>
      <c r="K1882" s="1412">
        <v>0</v>
      </c>
      <c r="L1882" s="1412">
        <v>11770.92</v>
      </c>
      <c r="M1882" s="1575">
        <v>11770.92</v>
      </c>
      <c r="N1882" s="1575"/>
      <c r="O1882" s="1575">
        <v>0</v>
      </c>
      <c r="P1882" s="1575"/>
      <c r="Q1882" s="1575">
        <v>0</v>
      </c>
      <c r="R1882" s="1575"/>
      <c r="S1882" s="1575"/>
      <c r="T1882" s="1575"/>
      <c r="U1882" s="1575"/>
    </row>
    <row r="1883" spans="1:21" ht="19.149999999999999" customHeight="1">
      <c r="A1883" s="1574" t="s">
        <v>1322</v>
      </c>
      <c r="B1883" s="1574"/>
      <c r="C1883" s="1574" t="s">
        <v>2729</v>
      </c>
      <c r="D1883" s="1574"/>
      <c r="E1883" s="1574"/>
      <c r="F1883" s="1574" t="s">
        <v>2398</v>
      </c>
      <c r="G1883" s="1574"/>
      <c r="H1883" s="1574"/>
      <c r="I1883" s="1574"/>
      <c r="J1883" s="1412">
        <v>0</v>
      </c>
      <c r="K1883" s="1412">
        <v>0</v>
      </c>
      <c r="L1883" s="1412">
        <v>216.07</v>
      </c>
      <c r="M1883" s="1575">
        <v>216.07</v>
      </c>
      <c r="N1883" s="1575"/>
      <c r="O1883" s="1575">
        <v>0</v>
      </c>
      <c r="P1883" s="1575"/>
      <c r="Q1883" s="1575">
        <v>0</v>
      </c>
      <c r="R1883" s="1575"/>
      <c r="S1883" s="1575"/>
      <c r="T1883" s="1575"/>
      <c r="U1883" s="1575"/>
    </row>
    <row r="1884" spans="1:21" ht="19.149999999999999" customHeight="1">
      <c r="A1884" s="1574" t="s">
        <v>1322</v>
      </c>
      <c r="B1884" s="1574"/>
      <c r="C1884" s="1574" t="s">
        <v>2730</v>
      </c>
      <c r="D1884" s="1574"/>
      <c r="E1884" s="1574"/>
      <c r="F1884" s="1574" t="s">
        <v>2400</v>
      </c>
      <c r="G1884" s="1574"/>
      <c r="H1884" s="1574"/>
      <c r="I1884" s="1574"/>
      <c r="J1884" s="1412">
        <v>0</v>
      </c>
      <c r="K1884" s="1412">
        <v>0</v>
      </c>
      <c r="L1884" s="1412">
        <v>0</v>
      </c>
      <c r="M1884" s="1575">
        <v>0</v>
      </c>
      <c r="N1884" s="1575"/>
      <c r="O1884" s="1575">
        <v>0</v>
      </c>
      <c r="P1884" s="1575"/>
      <c r="Q1884" s="1575">
        <v>0</v>
      </c>
      <c r="R1884" s="1575"/>
      <c r="S1884" s="1575"/>
      <c r="T1884" s="1575"/>
      <c r="U1884" s="1575"/>
    </row>
    <row r="1885" spans="1:21" ht="19.149999999999999" customHeight="1">
      <c r="A1885" s="1574" t="s">
        <v>1322</v>
      </c>
      <c r="B1885" s="1574"/>
      <c r="C1885" s="1574" t="s">
        <v>2731</v>
      </c>
      <c r="D1885" s="1574"/>
      <c r="E1885" s="1574"/>
      <c r="F1885" s="1574" t="s">
        <v>2402</v>
      </c>
      <c r="G1885" s="1574"/>
      <c r="H1885" s="1574"/>
      <c r="I1885" s="1574"/>
      <c r="J1885" s="1412">
        <v>0</v>
      </c>
      <c r="K1885" s="1412">
        <v>0</v>
      </c>
      <c r="L1885" s="1412">
        <v>2688.6</v>
      </c>
      <c r="M1885" s="1575">
        <v>2688.6</v>
      </c>
      <c r="N1885" s="1575"/>
      <c r="O1885" s="1575">
        <v>0</v>
      </c>
      <c r="P1885" s="1575"/>
      <c r="Q1885" s="1575">
        <v>0</v>
      </c>
      <c r="R1885" s="1575"/>
      <c r="S1885" s="1575"/>
      <c r="T1885" s="1575"/>
      <c r="U1885" s="1575"/>
    </row>
    <row r="1886" spans="1:21" ht="19.149999999999999" customHeight="1">
      <c r="A1886" s="1574" t="s">
        <v>1322</v>
      </c>
      <c r="B1886" s="1574"/>
      <c r="C1886" s="1574" t="s">
        <v>3335</v>
      </c>
      <c r="D1886" s="1574"/>
      <c r="E1886" s="1574"/>
      <c r="F1886" s="1574" t="s">
        <v>2404</v>
      </c>
      <c r="G1886" s="1574"/>
      <c r="H1886" s="1574"/>
      <c r="I1886" s="1574"/>
      <c r="J1886" s="1412">
        <v>0</v>
      </c>
      <c r="K1886" s="1412">
        <v>0</v>
      </c>
      <c r="L1886" s="1412">
        <v>309570.68</v>
      </c>
      <c r="M1886" s="1575">
        <v>309570.68</v>
      </c>
      <c r="N1886" s="1575"/>
      <c r="O1886" s="1575">
        <v>0</v>
      </c>
      <c r="P1886" s="1575"/>
      <c r="Q1886" s="1575">
        <v>0</v>
      </c>
      <c r="R1886" s="1575"/>
      <c r="S1886" s="1575"/>
      <c r="T1886" s="1575"/>
      <c r="U1886" s="1575"/>
    </row>
    <row r="1887" spans="1:21" ht="19.149999999999999" customHeight="1">
      <c r="A1887" s="1574" t="s">
        <v>1322</v>
      </c>
      <c r="B1887" s="1574"/>
      <c r="C1887" s="1574" t="s">
        <v>3336</v>
      </c>
      <c r="D1887" s="1574"/>
      <c r="E1887" s="1574"/>
      <c r="F1887" s="1574" t="s">
        <v>2404</v>
      </c>
      <c r="G1887" s="1574"/>
      <c r="H1887" s="1574"/>
      <c r="I1887" s="1574"/>
      <c r="J1887" s="1412">
        <v>0</v>
      </c>
      <c r="K1887" s="1412">
        <v>0</v>
      </c>
      <c r="L1887" s="1412">
        <v>105454.58</v>
      </c>
      <c r="M1887" s="1575">
        <v>105454.58</v>
      </c>
      <c r="N1887" s="1575"/>
      <c r="O1887" s="1575">
        <v>0</v>
      </c>
      <c r="P1887" s="1575"/>
      <c r="Q1887" s="1575">
        <v>0</v>
      </c>
      <c r="R1887" s="1575"/>
      <c r="S1887" s="1575"/>
      <c r="T1887" s="1575"/>
      <c r="U1887" s="1575"/>
    </row>
    <row r="1888" spans="1:21" ht="19.149999999999999" customHeight="1">
      <c r="A1888" s="1574" t="s">
        <v>1322</v>
      </c>
      <c r="B1888" s="1574"/>
      <c r="C1888" s="1574" t="s">
        <v>3337</v>
      </c>
      <c r="D1888" s="1574"/>
      <c r="E1888" s="1574"/>
      <c r="F1888" s="1574" t="s">
        <v>2404</v>
      </c>
      <c r="G1888" s="1574"/>
      <c r="H1888" s="1574"/>
      <c r="I1888" s="1574"/>
      <c r="J1888" s="1412">
        <v>0</v>
      </c>
      <c r="K1888" s="1412">
        <v>0</v>
      </c>
      <c r="L1888" s="1412">
        <v>78500</v>
      </c>
      <c r="M1888" s="1575">
        <v>78500</v>
      </c>
      <c r="N1888" s="1575"/>
      <c r="O1888" s="1575">
        <v>0</v>
      </c>
      <c r="P1888" s="1575"/>
      <c r="Q1888" s="1575">
        <v>0</v>
      </c>
      <c r="R1888" s="1575"/>
      <c r="S1888" s="1575"/>
      <c r="T1888" s="1575"/>
      <c r="U1888" s="1575"/>
    </row>
    <row r="1889" spans="1:23" ht="19.149999999999999" customHeight="1">
      <c r="A1889" s="1574" t="s">
        <v>1322</v>
      </c>
      <c r="B1889" s="1574"/>
      <c r="C1889" s="1574" t="s">
        <v>6366</v>
      </c>
      <c r="D1889" s="1574"/>
      <c r="E1889" s="1574"/>
      <c r="F1889" s="1574" t="s">
        <v>2404</v>
      </c>
      <c r="G1889" s="1574"/>
      <c r="H1889" s="1574"/>
      <c r="I1889" s="1574"/>
      <c r="J1889" s="1412">
        <v>0</v>
      </c>
      <c r="K1889" s="1412">
        <v>0</v>
      </c>
      <c r="L1889" s="1412">
        <v>40000</v>
      </c>
      <c r="M1889" s="1575">
        <v>40000</v>
      </c>
      <c r="N1889" s="1575"/>
      <c r="O1889" s="1575">
        <v>0</v>
      </c>
      <c r="P1889" s="1575"/>
      <c r="Q1889" s="1575">
        <v>0</v>
      </c>
      <c r="R1889" s="1575"/>
      <c r="S1889" s="1575"/>
      <c r="T1889" s="1575"/>
      <c r="U1889" s="1575"/>
    </row>
    <row r="1890" spans="1:23" ht="19.149999999999999" customHeight="1">
      <c r="A1890" s="1574" t="s">
        <v>1322</v>
      </c>
      <c r="B1890" s="1574"/>
      <c r="C1890" s="1574" t="s">
        <v>2732</v>
      </c>
      <c r="D1890" s="1574"/>
      <c r="E1890" s="1574"/>
      <c r="F1890" s="1574" t="s">
        <v>2387</v>
      </c>
      <c r="G1890" s="1574"/>
      <c r="H1890" s="1574"/>
      <c r="I1890" s="1574"/>
      <c r="J1890" s="1412">
        <v>0</v>
      </c>
      <c r="K1890" s="1412">
        <v>0</v>
      </c>
      <c r="L1890" s="1412">
        <v>192586.2</v>
      </c>
      <c r="M1890" s="1575">
        <v>192586.2</v>
      </c>
      <c r="N1890" s="1575"/>
      <c r="O1890" s="1575">
        <v>0</v>
      </c>
      <c r="P1890" s="1575"/>
      <c r="Q1890" s="1575">
        <v>0</v>
      </c>
      <c r="R1890" s="1575"/>
      <c r="S1890" s="1575"/>
      <c r="T1890" s="1575"/>
      <c r="U1890" s="1575"/>
    </row>
    <row r="1891" spans="1:23" ht="19.149999999999999" customHeight="1">
      <c r="A1891" s="1574" t="s">
        <v>1322</v>
      </c>
      <c r="B1891" s="1574"/>
      <c r="C1891" s="1574" t="s">
        <v>6837</v>
      </c>
      <c r="D1891" s="1574"/>
      <c r="E1891" s="1574"/>
      <c r="F1891" s="1574" t="s">
        <v>2390</v>
      </c>
      <c r="G1891" s="1574"/>
      <c r="H1891" s="1574"/>
      <c r="I1891" s="1574"/>
      <c r="J1891" s="1412">
        <v>0</v>
      </c>
      <c r="K1891" s="1412">
        <v>0</v>
      </c>
      <c r="L1891" s="1412">
        <v>324828.71999999997</v>
      </c>
      <c r="M1891" s="1575">
        <v>324828.71999999997</v>
      </c>
      <c r="N1891" s="1575"/>
      <c r="O1891" s="1575">
        <v>0</v>
      </c>
      <c r="P1891" s="1575"/>
      <c r="Q1891" s="1575">
        <v>0</v>
      </c>
      <c r="R1891" s="1575"/>
      <c r="S1891" s="1575"/>
      <c r="T1891" s="1575"/>
      <c r="U1891" s="1575"/>
    </row>
    <row r="1892" spans="1:23" ht="19.149999999999999" customHeight="1">
      <c r="A1892" s="1574" t="s">
        <v>1322</v>
      </c>
      <c r="B1892" s="1574"/>
      <c r="C1892" s="1574" t="s">
        <v>6367</v>
      </c>
      <c r="D1892" s="1574"/>
      <c r="E1892" s="1574"/>
      <c r="F1892" s="1574" t="s">
        <v>2392</v>
      </c>
      <c r="G1892" s="1574"/>
      <c r="H1892" s="1574"/>
      <c r="I1892" s="1574"/>
      <c r="J1892" s="1412">
        <v>0</v>
      </c>
      <c r="K1892" s="1412">
        <v>0</v>
      </c>
      <c r="L1892" s="1412">
        <v>16048.86</v>
      </c>
      <c r="M1892" s="1575">
        <v>16048.86</v>
      </c>
      <c r="N1892" s="1575"/>
      <c r="O1892" s="1575">
        <v>0</v>
      </c>
      <c r="P1892" s="1575"/>
      <c r="Q1892" s="1575">
        <v>0</v>
      </c>
      <c r="R1892" s="1575"/>
      <c r="S1892" s="1575"/>
      <c r="T1892" s="1575"/>
      <c r="U1892" s="1575"/>
    </row>
    <row r="1893" spans="1:23" ht="19.149999999999999" customHeight="1">
      <c r="A1893" s="1574" t="s">
        <v>1322</v>
      </c>
      <c r="B1893" s="1574"/>
      <c r="C1893" s="1574" t="s">
        <v>2733</v>
      </c>
      <c r="D1893" s="1574"/>
      <c r="E1893" s="1574"/>
      <c r="F1893" s="1574" t="s">
        <v>2396</v>
      </c>
      <c r="G1893" s="1574"/>
      <c r="H1893" s="1574"/>
      <c r="I1893" s="1574"/>
      <c r="J1893" s="1412">
        <v>0</v>
      </c>
      <c r="K1893" s="1412">
        <v>0</v>
      </c>
      <c r="L1893" s="1412">
        <v>49109.52</v>
      </c>
      <c r="M1893" s="1575">
        <v>49109.52</v>
      </c>
      <c r="N1893" s="1575"/>
      <c r="O1893" s="1575">
        <v>0</v>
      </c>
      <c r="P1893" s="1575"/>
      <c r="Q1893" s="1575">
        <v>0</v>
      </c>
      <c r="R1893" s="1575"/>
      <c r="S1893" s="1575"/>
      <c r="T1893" s="1575"/>
      <c r="U1893" s="1575"/>
    </row>
    <row r="1894" spans="1:23" ht="19.149999999999999" customHeight="1">
      <c r="A1894" s="1574" t="s">
        <v>1322</v>
      </c>
      <c r="B1894" s="1574"/>
      <c r="C1894" s="1574" t="s">
        <v>2734</v>
      </c>
      <c r="D1894" s="1574"/>
      <c r="E1894" s="1574"/>
      <c r="F1894" s="1574" t="s">
        <v>2398</v>
      </c>
      <c r="G1894" s="1574"/>
      <c r="H1894" s="1574"/>
      <c r="I1894" s="1574"/>
      <c r="J1894" s="1412">
        <v>0</v>
      </c>
      <c r="K1894" s="1412">
        <v>0</v>
      </c>
      <c r="L1894" s="1412">
        <v>691.44</v>
      </c>
      <c r="M1894" s="1575">
        <v>691.44</v>
      </c>
      <c r="N1894" s="1575"/>
      <c r="O1894" s="1575">
        <v>0</v>
      </c>
      <c r="P1894" s="1575"/>
      <c r="Q1894" s="1575">
        <v>0</v>
      </c>
      <c r="R1894" s="1575"/>
      <c r="S1894" s="1575"/>
      <c r="T1894" s="1575"/>
      <c r="U1894" s="1575"/>
    </row>
    <row r="1895" spans="1:23" ht="19.149999999999999" customHeight="1">
      <c r="A1895" s="1574" t="s">
        <v>1322</v>
      </c>
      <c r="B1895" s="1574"/>
      <c r="C1895" s="1574" t="s">
        <v>2735</v>
      </c>
      <c r="D1895" s="1574"/>
      <c r="E1895" s="1574"/>
      <c r="F1895" s="1574" t="s">
        <v>2400</v>
      </c>
      <c r="G1895" s="1574"/>
      <c r="H1895" s="1574"/>
      <c r="I1895" s="1574"/>
      <c r="J1895" s="1412">
        <v>0</v>
      </c>
      <c r="K1895" s="1412">
        <v>0</v>
      </c>
      <c r="L1895" s="1412">
        <v>0</v>
      </c>
      <c r="M1895" s="1575">
        <v>0</v>
      </c>
      <c r="N1895" s="1575"/>
      <c r="O1895" s="1575">
        <v>0</v>
      </c>
      <c r="P1895" s="1575"/>
      <c r="Q1895" s="1575">
        <v>0</v>
      </c>
      <c r="R1895" s="1575"/>
      <c r="S1895" s="1575"/>
      <c r="T1895" s="1575"/>
      <c r="U1895" s="1575"/>
    </row>
    <row r="1896" spans="1:23" ht="19.149999999999999" customHeight="1">
      <c r="A1896" s="1574" t="s">
        <v>1322</v>
      </c>
      <c r="B1896" s="1574"/>
      <c r="C1896" s="1574" t="s">
        <v>2736</v>
      </c>
      <c r="D1896" s="1574"/>
      <c r="E1896" s="1574"/>
      <c r="F1896" s="1574" t="s">
        <v>2402</v>
      </c>
      <c r="G1896" s="1574"/>
      <c r="H1896" s="1574"/>
      <c r="I1896" s="1574"/>
      <c r="J1896" s="1412">
        <v>0</v>
      </c>
      <c r="K1896" s="1412">
        <v>0</v>
      </c>
      <c r="L1896" s="1412">
        <v>13443</v>
      </c>
      <c r="M1896" s="1575">
        <v>13443</v>
      </c>
      <c r="N1896" s="1575"/>
      <c r="O1896" s="1575">
        <v>0</v>
      </c>
      <c r="P1896" s="1575"/>
      <c r="Q1896" s="1575">
        <v>0</v>
      </c>
      <c r="R1896" s="1575"/>
      <c r="S1896" s="1575"/>
      <c r="T1896" s="1575"/>
      <c r="U1896" s="1575"/>
    </row>
    <row r="1897" spans="1:23" ht="19.149999999999999" customHeight="1">
      <c r="A1897" s="1574" t="s">
        <v>1322</v>
      </c>
      <c r="B1897" s="1574"/>
      <c r="C1897" s="1574" t="s">
        <v>2864</v>
      </c>
      <c r="D1897" s="1574"/>
      <c r="E1897" s="1574"/>
      <c r="F1897" s="1574" t="s">
        <v>2416</v>
      </c>
      <c r="G1897" s="1574"/>
      <c r="H1897" s="1574"/>
      <c r="I1897" s="1574"/>
      <c r="J1897" s="1412">
        <v>0</v>
      </c>
      <c r="K1897" s="1412">
        <v>0</v>
      </c>
      <c r="L1897" s="1412">
        <v>14945.12</v>
      </c>
      <c r="M1897" s="1575">
        <v>14945.12</v>
      </c>
      <c r="N1897" s="1575"/>
      <c r="O1897" s="1575">
        <v>0</v>
      </c>
      <c r="P1897" s="1575"/>
      <c r="Q1897" s="1575">
        <v>0</v>
      </c>
      <c r="R1897" s="1575"/>
      <c r="S1897" s="1575"/>
      <c r="T1897" s="1575"/>
      <c r="U1897" s="1575"/>
    </row>
    <row r="1898" spans="1:23" ht="19.149999999999999" customHeight="1">
      <c r="A1898" s="1574" t="s">
        <v>1322</v>
      </c>
      <c r="B1898" s="1574"/>
      <c r="C1898" s="1574" t="s">
        <v>2738</v>
      </c>
      <c r="D1898" s="1574"/>
      <c r="E1898" s="1574"/>
      <c r="F1898" s="1574" t="s">
        <v>2418</v>
      </c>
      <c r="G1898" s="1574"/>
      <c r="H1898" s="1574"/>
      <c r="I1898" s="1574"/>
      <c r="J1898" s="1412">
        <v>0</v>
      </c>
      <c r="K1898" s="1412">
        <v>0</v>
      </c>
      <c r="L1898" s="1412">
        <v>683469.02</v>
      </c>
      <c r="M1898" s="1575">
        <v>683469.02</v>
      </c>
      <c r="N1898" s="1575"/>
      <c r="O1898" s="1575">
        <v>0</v>
      </c>
      <c r="P1898" s="1575"/>
      <c r="Q1898" s="1575">
        <v>0</v>
      </c>
      <c r="R1898" s="1575"/>
      <c r="S1898" s="1575"/>
      <c r="T1898" s="1575"/>
      <c r="U1898" s="1575"/>
    </row>
    <row r="1899" spans="1:23" ht="15.2" customHeight="1"/>
    <row r="1900" spans="1:23" ht="14.1" customHeight="1">
      <c r="S1900" s="1573" t="s">
        <v>6570</v>
      </c>
      <c r="T1900" s="1573"/>
      <c r="U1900" s="1573"/>
      <c r="V1900" s="1573"/>
      <c r="W1900" s="1573"/>
    </row>
    <row r="1901" spans="1:23" ht="7.15" customHeight="1">
      <c r="C1901" s="1586" t="s">
        <v>2987</v>
      </c>
      <c r="D1901" s="1586"/>
      <c r="E1901" s="1586"/>
      <c r="F1901" s="1586"/>
      <c r="G1901" s="1586"/>
      <c r="H1901" s="1586"/>
      <c r="I1901" s="1586"/>
      <c r="J1901" s="1586"/>
      <c r="K1901" s="1586"/>
      <c r="L1901" s="1586"/>
      <c r="M1901" s="1586"/>
      <c r="N1901" s="1586"/>
      <c r="O1901" s="1586"/>
      <c r="P1901" s="1586"/>
      <c r="Q1901" s="1586"/>
      <c r="R1901" s="1586"/>
      <c r="S1901" s="1586"/>
      <c r="T1901" s="1586"/>
    </row>
    <row r="1902" spans="1:23" ht="9.6" customHeight="1">
      <c r="A1902" s="1587"/>
      <c r="B1902" s="1587"/>
      <c r="C1902" s="1587"/>
      <c r="D1902" s="1587"/>
      <c r="E1902" s="1587"/>
      <c r="F1902" s="1587"/>
      <c r="G1902" s="1586"/>
      <c r="H1902" s="1586"/>
      <c r="I1902" s="1586"/>
      <c r="J1902" s="1586"/>
      <c r="K1902" s="1586"/>
      <c r="L1902" s="1586"/>
      <c r="M1902" s="1586"/>
      <c r="N1902" s="1586"/>
      <c r="O1902" s="1586"/>
      <c r="P1902" s="1586"/>
      <c r="Q1902" s="1586"/>
      <c r="R1902" s="1586"/>
      <c r="S1902" s="1586"/>
      <c r="T1902" s="1586"/>
    </row>
    <row r="1903" spans="1:23" ht="13.35" customHeight="1">
      <c r="A1903" s="1587"/>
      <c r="B1903" s="1587"/>
      <c r="C1903" s="1587"/>
      <c r="D1903" s="1587"/>
      <c r="E1903" s="1587"/>
      <c r="F1903" s="1587"/>
      <c r="G1903" s="1588" t="s">
        <v>79</v>
      </c>
      <c r="H1903" s="1588"/>
      <c r="I1903" s="1588"/>
      <c r="J1903" s="1588"/>
      <c r="K1903" s="1588"/>
      <c r="L1903" s="1588"/>
      <c r="M1903" s="1588"/>
      <c r="N1903" s="1588"/>
      <c r="O1903" s="1588"/>
      <c r="P1903" s="1588"/>
      <c r="Q1903" s="1588"/>
      <c r="R1903" s="1588"/>
    </row>
    <row r="1904" spans="1:23" ht="5.25" customHeight="1">
      <c r="A1904" s="1587"/>
      <c r="B1904" s="1587"/>
      <c r="C1904" s="1587"/>
      <c r="D1904" s="1587"/>
      <c r="E1904" s="1587"/>
      <c r="F1904" s="1587"/>
      <c r="G1904" s="1581" t="s">
        <v>7015</v>
      </c>
      <c r="H1904" s="1581"/>
      <c r="I1904" s="1581"/>
      <c r="J1904" s="1581"/>
      <c r="K1904" s="1581"/>
      <c r="L1904" s="1581"/>
      <c r="M1904" s="1581"/>
      <c r="N1904" s="1581"/>
      <c r="O1904" s="1581"/>
      <c r="P1904" s="1581"/>
      <c r="Q1904" s="1581"/>
    </row>
    <row r="1905" spans="1:23" ht="8.1" customHeight="1">
      <c r="B1905" s="1580" t="s">
        <v>1916</v>
      </c>
      <c r="C1905" s="1580"/>
      <c r="D1905" s="1580"/>
      <c r="E1905" s="1580"/>
      <c r="F1905" s="1580"/>
      <c r="G1905" s="1580"/>
      <c r="H1905" s="1581"/>
      <c r="I1905" s="1581"/>
      <c r="J1905" s="1581"/>
      <c r="K1905" s="1581"/>
      <c r="L1905" s="1581"/>
      <c r="M1905" s="1581"/>
      <c r="N1905" s="1582" t="s">
        <v>5619</v>
      </c>
      <c r="O1905" s="1582"/>
      <c r="P1905" s="1582"/>
      <c r="Q1905" s="1582"/>
      <c r="R1905" s="1582"/>
      <c r="S1905" s="1582"/>
      <c r="T1905" s="1583" t="s">
        <v>7016</v>
      </c>
      <c r="U1905" s="1583"/>
      <c r="V1905" s="1583"/>
      <c r="W1905" s="1583"/>
    </row>
    <row r="1906" spans="1:23" ht="6" customHeight="1">
      <c r="B1906" s="1580"/>
      <c r="C1906" s="1580"/>
      <c r="D1906" s="1580"/>
      <c r="E1906" s="1580"/>
      <c r="F1906" s="1580"/>
      <c r="G1906" s="1580"/>
      <c r="H1906" s="1584" t="s">
        <v>7017</v>
      </c>
      <c r="I1906" s="1584"/>
      <c r="J1906" s="1584"/>
      <c r="K1906" s="1584"/>
      <c r="L1906" s="1584"/>
      <c r="M1906" s="1584"/>
      <c r="N1906" s="1582"/>
      <c r="O1906" s="1582"/>
      <c r="P1906" s="1582"/>
      <c r="Q1906" s="1582"/>
      <c r="R1906" s="1582"/>
      <c r="S1906" s="1582"/>
      <c r="T1906" s="1583"/>
      <c r="U1906" s="1583"/>
      <c r="V1906" s="1583"/>
      <c r="W1906" s="1583"/>
    </row>
    <row r="1907" spans="1:23" ht="7.35" customHeight="1">
      <c r="B1907" s="1580" t="s">
        <v>1994</v>
      </c>
      <c r="C1907" s="1580"/>
      <c r="D1907" s="1580"/>
      <c r="E1907" s="1585"/>
      <c r="F1907" s="1585"/>
      <c r="G1907" s="1585"/>
      <c r="H1907" s="1585"/>
      <c r="I1907" s="1585"/>
      <c r="J1907" s="1585"/>
      <c r="K1907" s="1585"/>
      <c r="L1907" s="1585"/>
      <c r="M1907" s="1585"/>
      <c r="N1907" s="1585"/>
      <c r="O1907" s="1585"/>
      <c r="P1907" s="1585"/>
      <c r="Q1907" s="1585"/>
      <c r="R1907" s="1582"/>
      <c r="S1907" s="1582"/>
      <c r="T1907" s="1582" t="s">
        <v>7018</v>
      </c>
      <c r="U1907" s="1582"/>
    </row>
    <row r="1908" spans="1:23" ht="6.75" customHeight="1">
      <c r="E1908" s="1585"/>
      <c r="F1908" s="1585"/>
      <c r="G1908" s="1585"/>
      <c r="H1908" s="1585"/>
      <c r="I1908" s="1585"/>
      <c r="J1908" s="1585"/>
      <c r="K1908" s="1585"/>
      <c r="L1908" s="1585"/>
      <c r="M1908" s="1585"/>
      <c r="N1908" s="1585"/>
      <c r="O1908" s="1585"/>
      <c r="P1908" s="1585"/>
      <c r="Q1908" s="1585"/>
      <c r="R1908" s="1582"/>
      <c r="S1908" s="1582"/>
      <c r="T1908" s="1582"/>
      <c r="U1908" s="1582"/>
    </row>
    <row r="1909" spans="1:23" ht="10.9" customHeight="1">
      <c r="A1909" s="1576"/>
      <c r="B1909" s="1576"/>
      <c r="C1909" s="1576"/>
      <c r="D1909" s="1576"/>
      <c r="E1909" s="1576"/>
      <c r="F1909" s="1576"/>
      <c r="G1909" s="1576"/>
      <c r="H1909" s="1576"/>
      <c r="I1909" s="1576"/>
      <c r="J1909" s="1577" t="s">
        <v>1314</v>
      </c>
      <c r="K1909" s="1577"/>
      <c r="L1909" s="1577" t="s">
        <v>1315</v>
      </c>
      <c r="M1909" s="1577"/>
      <c r="N1909" s="1577"/>
      <c r="O1909" s="1577" t="s">
        <v>1316</v>
      </c>
      <c r="P1909" s="1577"/>
      <c r="Q1909" s="1577"/>
      <c r="R1909" s="1577"/>
      <c r="S1909" s="1577"/>
      <c r="T1909" s="1577"/>
      <c r="U1909" s="1577"/>
    </row>
    <row r="1910" spans="1:23" ht="14.1" customHeight="1">
      <c r="A1910" s="1578" t="s">
        <v>1317</v>
      </c>
      <c r="B1910" s="1578"/>
      <c r="C1910" s="1578" t="s">
        <v>1318</v>
      </c>
      <c r="D1910" s="1578"/>
      <c r="E1910" s="1578"/>
      <c r="F1910" s="1578" t="s">
        <v>1319</v>
      </c>
      <c r="G1910" s="1578"/>
      <c r="H1910" s="1578"/>
      <c r="I1910" s="1578"/>
      <c r="J1910" s="1413" t="s">
        <v>1320</v>
      </c>
      <c r="K1910" s="1413" t="s">
        <v>1321</v>
      </c>
      <c r="L1910" s="1413" t="s">
        <v>1320</v>
      </c>
      <c r="M1910" s="1579" t="s">
        <v>1321</v>
      </c>
      <c r="N1910" s="1579"/>
      <c r="O1910" s="1579" t="s">
        <v>1320</v>
      </c>
      <c r="P1910" s="1579"/>
      <c r="Q1910" s="1579" t="s">
        <v>1321</v>
      </c>
      <c r="R1910" s="1579"/>
      <c r="S1910" s="1579"/>
      <c r="T1910" s="1579"/>
      <c r="U1910" s="1579"/>
    </row>
    <row r="1911" spans="1:23" ht="22.5" customHeight="1">
      <c r="A1911" s="1574" t="s">
        <v>1322</v>
      </c>
      <c r="B1911" s="1574"/>
      <c r="C1911" s="1574" t="s">
        <v>2739</v>
      </c>
      <c r="D1911" s="1574"/>
      <c r="E1911" s="1574"/>
      <c r="F1911" s="1574" t="s">
        <v>2421</v>
      </c>
      <c r="G1911" s="1574"/>
      <c r="H1911" s="1574"/>
      <c r="I1911" s="1574"/>
      <c r="J1911" s="1412">
        <v>0</v>
      </c>
      <c r="K1911" s="1412">
        <v>0</v>
      </c>
      <c r="L1911" s="1412">
        <v>11675.65</v>
      </c>
      <c r="M1911" s="1575">
        <v>11675.65</v>
      </c>
      <c r="N1911" s="1575"/>
      <c r="O1911" s="1575">
        <v>0</v>
      </c>
      <c r="P1911" s="1575"/>
      <c r="Q1911" s="1575">
        <v>0</v>
      </c>
      <c r="R1911" s="1575"/>
      <c r="S1911" s="1575"/>
      <c r="T1911" s="1575"/>
      <c r="U1911" s="1575"/>
    </row>
    <row r="1912" spans="1:23" ht="19.149999999999999" customHeight="1">
      <c r="A1912" s="1574" t="s">
        <v>1322</v>
      </c>
      <c r="B1912" s="1574"/>
      <c r="C1912" s="1574" t="s">
        <v>2740</v>
      </c>
      <c r="D1912" s="1574"/>
      <c r="E1912" s="1574"/>
      <c r="F1912" s="1574" t="s">
        <v>2423</v>
      </c>
      <c r="G1912" s="1574"/>
      <c r="H1912" s="1574"/>
      <c r="I1912" s="1574"/>
      <c r="J1912" s="1412">
        <v>0</v>
      </c>
      <c r="K1912" s="1412">
        <v>0</v>
      </c>
      <c r="L1912" s="1412">
        <v>612855.88</v>
      </c>
      <c r="M1912" s="1575">
        <v>612855.88</v>
      </c>
      <c r="N1912" s="1575"/>
      <c r="O1912" s="1575">
        <v>0</v>
      </c>
      <c r="P1912" s="1575"/>
      <c r="Q1912" s="1575">
        <v>0</v>
      </c>
      <c r="R1912" s="1575"/>
      <c r="S1912" s="1575"/>
      <c r="T1912" s="1575"/>
      <c r="U1912" s="1575"/>
    </row>
    <row r="1913" spans="1:23" ht="19.149999999999999" customHeight="1">
      <c r="A1913" s="1574" t="s">
        <v>1322</v>
      </c>
      <c r="B1913" s="1574"/>
      <c r="C1913" s="1574" t="s">
        <v>5844</v>
      </c>
      <c r="D1913" s="1574"/>
      <c r="E1913" s="1574"/>
      <c r="F1913" s="1574" t="s">
        <v>2416</v>
      </c>
      <c r="G1913" s="1574"/>
      <c r="H1913" s="1574"/>
      <c r="I1913" s="1574"/>
      <c r="J1913" s="1412">
        <v>0</v>
      </c>
      <c r="K1913" s="1412">
        <v>0</v>
      </c>
      <c r="L1913" s="1412">
        <v>14800</v>
      </c>
      <c r="M1913" s="1575">
        <v>14800</v>
      </c>
      <c r="N1913" s="1575"/>
      <c r="O1913" s="1575">
        <v>0</v>
      </c>
      <c r="P1913" s="1575"/>
      <c r="Q1913" s="1575">
        <v>0</v>
      </c>
      <c r="R1913" s="1575"/>
      <c r="S1913" s="1575"/>
      <c r="T1913" s="1575"/>
      <c r="U1913" s="1575"/>
    </row>
    <row r="1914" spans="1:23" ht="19.149999999999999" customHeight="1">
      <c r="A1914" s="1574" t="s">
        <v>1322</v>
      </c>
      <c r="B1914" s="1574"/>
      <c r="C1914" s="1574" t="s">
        <v>2741</v>
      </c>
      <c r="D1914" s="1574"/>
      <c r="E1914" s="1574"/>
      <c r="F1914" s="1574" t="s">
        <v>2418</v>
      </c>
      <c r="G1914" s="1574"/>
      <c r="H1914" s="1574"/>
      <c r="I1914" s="1574"/>
      <c r="J1914" s="1412">
        <v>0</v>
      </c>
      <c r="K1914" s="1412">
        <v>0</v>
      </c>
      <c r="L1914" s="1412">
        <v>250888.94</v>
      </c>
      <c r="M1914" s="1575">
        <v>250888.94</v>
      </c>
      <c r="N1914" s="1575"/>
      <c r="O1914" s="1575">
        <v>0</v>
      </c>
      <c r="P1914" s="1575"/>
      <c r="Q1914" s="1575">
        <v>0</v>
      </c>
      <c r="R1914" s="1575"/>
      <c r="S1914" s="1575"/>
      <c r="T1914" s="1575"/>
      <c r="U1914" s="1575"/>
    </row>
    <row r="1915" spans="1:23" ht="19.149999999999999" customHeight="1">
      <c r="A1915" s="1574" t="s">
        <v>1322</v>
      </c>
      <c r="B1915" s="1574"/>
      <c r="C1915" s="1574" t="s">
        <v>5845</v>
      </c>
      <c r="D1915" s="1574"/>
      <c r="E1915" s="1574"/>
      <c r="F1915" s="1574" t="s">
        <v>2423</v>
      </c>
      <c r="G1915" s="1574"/>
      <c r="H1915" s="1574"/>
      <c r="I1915" s="1574"/>
      <c r="J1915" s="1412">
        <v>0</v>
      </c>
      <c r="K1915" s="1412">
        <v>0</v>
      </c>
      <c r="L1915" s="1412">
        <v>316981.88</v>
      </c>
      <c r="M1915" s="1575">
        <v>316981.88</v>
      </c>
      <c r="N1915" s="1575"/>
      <c r="O1915" s="1575">
        <v>0</v>
      </c>
      <c r="P1915" s="1575"/>
      <c r="Q1915" s="1575">
        <v>0</v>
      </c>
      <c r="R1915" s="1575"/>
      <c r="S1915" s="1575"/>
      <c r="T1915" s="1575"/>
      <c r="U1915" s="1575"/>
    </row>
    <row r="1916" spans="1:23" ht="19.149999999999999" customHeight="1">
      <c r="A1916" s="1574" t="s">
        <v>1322</v>
      </c>
      <c r="B1916" s="1574"/>
      <c r="C1916" s="1574" t="s">
        <v>5846</v>
      </c>
      <c r="D1916" s="1574"/>
      <c r="E1916" s="1574"/>
      <c r="F1916" s="1574" t="s">
        <v>2416</v>
      </c>
      <c r="G1916" s="1574"/>
      <c r="H1916" s="1574"/>
      <c r="I1916" s="1574"/>
      <c r="J1916" s="1412">
        <v>0</v>
      </c>
      <c r="K1916" s="1412">
        <v>0</v>
      </c>
      <c r="L1916" s="1412">
        <v>4400</v>
      </c>
      <c r="M1916" s="1575">
        <v>4400</v>
      </c>
      <c r="N1916" s="1575"/>
      <c r="O1916" s="1575">
        <v>0</v>
      </c>
      <c r="P1916" s="1575"/>
      <c r="Q1916" s="1575">
        <v>0</v>
      </c>
      <c r="R1916" s="1575"/>
      <c r="S1916" s="1575"/>
      <c r="T1916" s="1575"/>
      <c r="U1916" s="1575"/>
    </row>
    <row r="1917" spans="1:23" ht="19.149999999999999" customHeight="1">
      <c r="A1917" s="1574" t="s">
        <v>1322</v>
      </c>
      <c r="B1917" s="1574"/>
      <c r="C1917" s="1574" t="s">
        <v>2742</v>
      </c>
      <c r="D1917" s="1574"/>
      <c r="E1917" s="1574"/>
      <c r="F1917" s="1574" t="s">
        <v>2418</v>
      </c>
      <c r="G1917" s="1574"/>
      <c r="H1917" s="1574"/>
      <c r="I1917" s="1574"/>
      <c r="J1917" s="1412">
        <v>0</v>
      </c>
      <c r="K1917" s="1412">
        <v>0</v>
      </c>
      <c r="L1917" s="1412">
        <v>29577.66</v>
      </c>
      <c r="M1917" s="1575">
        <v>29577.66</v>
      </c>
      <c r="N1917" s="1575"/>
      <c r="O1917" s="1575">
        <v>0</v>
      </c>
      <c r="P1917" s="1575"/>
      <c r="Q1917" s="1575">
        <v>0</v>
      </c>
      <c r="R1917" s="1575"/>
      <c r="S1917" s="1575"/>
      <c r="T1917" s="1575"/>
      <c r="U1917" s="1575"/>
    </row>
    <row r="1918" spans="1:23" ht="19.149999999999999" customHeight="1">
      <c r="A1918" s="1574" t="s">
        <v>1322</v>
      </c>
      <c r="B1918" s="1574"/>
      <c r="C1918" s="1574" t="s">
        <v>2743</v>
      </c>
      <c r="D1918" s="1574"/>
      <c r="E1918" s="1574"/>
      <c r="F1918" s="1574" t="s">
        <v>2423</v>
      </c>
      <c r="G1918" s="1574"/>
      <c r="H1918" s="1574"/>
      <c r="I1918" s="1574"/>
      <c r="J1918" s="1412">
        <v>0</v>
      </c>
      <c r="K1918" s="1412">
        <v>0</v>
      </c>
      <c r="L1918" s="1412">
        <v>82310.929999999993</v>
      </c>
      <c r="M1918" s="1575">
        <v>82310.929999999993</v>
      </c>
      <c r="N1918" s="1575"/>
      <c r="O1918" s="1575">
        <v>0</v>
      </c>
      <c r="P1918" s="1575"/>
      <c r="Q1918" s="1575">
        <v>0</v>
      </c>
      <c r="R1918" s="1575"/>
      <c r="S1918" s="1575"/>
      <c r="T1918" s="1575"/>
      <c r="U1918" s="1575"/>
    </row>
    <row r="1919" spans="1:23" ht="19.149999999999999" customHeight="1">
      <c r="A1919" s="1574" t="s">
        <v>1322</v>
      </c>
      <c r="B1919" s="1574"/>
      <c r="C1919" s="1574" t="s">
        <v>5847</v>
      </c>
      <c r="D1919" s="1574"/>
      <c r="E1919" s="1574"/>
      <c r="F1919" s="1574" t="s">
        <v>2416</v>
      </c>
      <c r="G1919" s="1574"/>
      <c r="H1919" s="1574"/>
      <c r="I1919" s="1574"/>
      <c r="J1919" s="1412">
        <v>0</v>
      </c>
      <c r="K1919" s="1412">
        <v>0</v>
      </c>
      <c r="L1919" s="1412">
        <v>3200</v>
      </c>
      <c r="M1919" s="1575">
        <v>3200</v>
      </c>
      <c r="N1919" s="1575"/>
      <c r="O1919" s="1575">
        <v>0</v>
      </c>
      <c r="P1919" s="1575"/>
      <c r="Q1919" s="1575">
        <v>0</v>
      </c>
      <c r="R1919" s="1575"/>
      <c r="S1919" s="1575"/>
      <c r="T1919" s="1575"/>
      <c r="U1919" s="1575"/>
    </row>
    <row r="1920" spans="1:23" ht="19.149999999999999" customHeight="1">
      <c r="A1920" s="1574" t="s">
        <v>1322</v>
      </c>
      <c r="B1920" s="1574"/>
      <c r="C1920" s="1574" t="s">
        <v>2744</v>
      </c>
      <c r="D1920" s="1574"/>
      <c r="E1920" s="1574"/>
      <c r="F1920" s="1574" t="s">
        <v>2418</v>
      </c>
      <c r="G1920" s="1574"/>
      <c r="H1920" s="1574"/>
      <c r="I1920" s="1574"/>
      <c r="J1920" s="1412">
        <v>0</v>
      </c>
      <c r="K1920" s="1412">
        <v>0</v>
      </c>
      <c r="L1920" s="1412">
        <v>16006.02</v>
      </c>
      <c r="M1920" s="1575">
        <v>16006.02</v>
      </c>
      <c r="N1920" s="1575"/>
      <c r="O1920" s="1575">
        <v>0</v>
      </c>
      <c r="P1920" s="1575"/>
      <c r="Q1920" s="1575">
        <v>0</v>
      </c>
      <c r="R1920" s="1575"/>
      <c r="S1920" s="1575"/>
      <c r="T1920" s="1575"/>
      <c r="U1920" s="1575"/>
    </row>
    <row r="1921" spans="1:23" ht="19.149999999999999" customHeight="1">
      <c r="A1921" s="1574" t="s">
        <v>1322</v>
      </c>
      <c r="B1921" s="1574"/>
      <c r="C1921" s="1574" t="s">
        <v>5848</v>
      </c>
      <c r="D1921" s="1574"/>
      <c r="E1921" s="1574"/>
      <c r="F1921" s="1574" t="s">
        <v>2423</v>
      </c>
      <c r="G1921" s="1574"/>
      <c r="H1921" s="1574"/>
      <c r="I1921" s="1574"/>
      <c r="J1921" s="1412">
        <v>0</v>
      </c>
      <c r="K1921" s="1412">
        <v>0</v>
      </c>
      <c r="L1921" s="1412">
        <v>60252.33</v>
      </c>
      <c r="M1921" s="1575">
        <v>60252.33</v>
      </c>
      <c r="N1921" s="1575"/>
      <c r="O1921" s="1575">
        <v>0</v>
      </c>
      <c r="P1921" s="1575"/>
      <c r="Q1921" s="1575">
        <v>0</v>
      </c>
      <c r="R1921" s="1575"/>
      <c r="S1921" s="1575"/>
      <c r="T1921" s="1575"/>
      <c r="U1921" s="1575"/>
    </row>
    <row r="1922" spans="1:23" ht="19.149999999999999" customHeight="1">
      <c r="A1922" s="1574" t="s">
        <v>1322</v>
      </c>
      <c r="B1922" s="1574"/>
      <c r="C1922" s="1574" t="s">
        <v>5849</v>
      </c>
      <c r="D1922" s="1574"/>
      <c r="E1922" s="1574"/>
      <c r="F1922" s="1574" t="s">
        <v>2416</v>
      </c>
      <c r="G1922" s="1574"/>
      <c r="H1922" s="1574"/>
      <c r="I1922" s="1574"/>
      <c r="J1922" s="1412">
        <v>0</v>
      </c>
      <c r="K1922" s="1412">
        <v>0</v>
      </c>
      <c r="L1922" s="1412">
        <v>7600</v>
      </c>
      <c r="M1922" s="1575">
        <v>7600</v>
      </c>
      <c r="N1922" s="1575"/>
      <c r="O1922" s="1575">
        <v>0</v>
      </c>
      <c r="P1922" s="1575"/>
      <c r="Q1922" s="1575">
        <v>0</v>
      </c>
      <c r="R1922" s="1575"/>
      <c r="S1922" s="1575"/>
      <c r="T1922" s="1575"/>
      <c r="U1922" s="1575"/>
    </row>
    <row r="1923" spans="1:23" ht="19.149999999999999" customHeight="1">
      <c r="A1923" s="1574" t="s">
        <v>1322</v>
      </c>
      <c r="B1923" s="1574"/>
      <c r="C1923" s="1574" t="s">
        <v>2745</v>
      </c>
      <c r="D1923" s="1574"/>
      <c r="E1923" s="1574"/>
      <c r="F1923" s="1574" t="s">
        <v>2418</v>
      </c>
      <c r="G1923" s="1574"/>
      <c r="H1923" s="1574"/>
      <c r="I1923" s="1574"/>
      <c r="J1923" s="1412">
        <v>0</v>
      </c>
      <c r="K1923" s="1412">
        <v>0</v>
      </c>
      <c r="L1923" s="1412">
        <v>40913.08</v>
      </c>
      <c r="M1923" s="1575">
        <v>40913.08</v>
      </c>
      <c r="N1923" s="1575"/>
      <c r="O1923" s="1575">
        <v>0</v>
      </c>
      <c r="P1923" s="1575"/>
      <c r="Q1923" s="1575">
        <v>0</v>
      </c>
      <c r="R1923" s="1575"/>
      <c r="S1923" s="1575"/>
      <c r="T1923" s="1575"/>
      <c r="U1923" s="1575"/>
    </row>
    <row r="1924" spans="1:23" ht="19.149999999999999" customHeight="1">
      <c r="A1924" s="1574" t="s">
        <v>1322</v>
      </c>
      <c r="B1924" s="1574"/>
      <c r="C1924" s="1574" t="s">
        <v>2746</v>
      </c>
      <c r="D1924" s="1574"/>
      <c r="E1924" s="1574"/>
      <c r="F1924" s="1574" t="s">
        <v>2423</v>
      </c>
      <c r="G1924" s="1574"/>
      <c r="H1924" s="1574"/>
      <c r="I1924" s="1574"/>
      <c r="J1924" s="1412">
        <v>0</v>
      </c>
      <c r="K1924" s="1412">
        <v>0</v>
      </c>
      <c r="L1924" s="1412">
        <v>58945.94</v>
      </c>
      <c r="M1924" s="1575">
        <v>58945.94</v>
      </c>
      <c r="N1924" s="1575"/>
      <c r="O1924" s="1575">
        <v>0</v>
      </c>
      <c r="P1924" s="1575"/>
      <c r="Q1924" s="1575">
        <v>0</v>
      </c>
      <c r="R1924" s="1575"/>
      <c r="S1924" s="1575"/>
      <c r="T1924" s="1575"/>
      <c r="U1924" s="1575"/>
    </row>
    <row r="1925" spans="1:23" ht="19.149999999999999" customHeight="1">
      <c r="A1925" s="1574" t="s">
        <v>1322</v>
      </c>
      <c r="B1925" s="1574"/>
      <c r="C1925" s="1574" t="s">
        <v>6678</v>
      </c>
      <c r="D1925" s="1574"/>
      <c r="E1925" s="1574"/>
      <c r="F1925" s="1574" t="s">
        <v>2443</v>
      </c>
      <c r="G1925" s="1574"/>
      <c r="H1925" s="1574"/>
      <c r="I1925" s="1574"/>
      <c r="J1925" s="1412">
        <v>0</v>
      </c>
      <c r="K1925" s="1412">
        <v>0</v>
      </c>
      <c r="L1925" s="1412">
        <v>0</v>
      </c>
      <c r="M1925" s="1575">
        <v>0</v>
      </c>
      <c r="N1925" s="1575"/>
      <c r="O1925" s="1575">
        <v>0</v>
      </c>
      <c r="P1925" s="1575"/>
      <c r="Q1925" s="1575">
        <v>0</v>
      </c>
      <c r="R1925" s="1575"/>
      <c r="S1925" s="1575"/>
      <c r="T1925" s="1575"/>
      <c r="U1925" s="1575"/>
    </row>
    <row r="1926" spans="1:23" ht="19.149999999999999" customHeight="1">
      <c r="A1926" s="1574" t="s">
        <v>1322</v>
      </c>
      <c r="B1926" s="1574"/>
      <c r="C1926" s="1574" t="s">
        <v>6368</v>
      </c>
      <c r="D1926" s="1574"/>
      <c r="E1926" s="1574"/>
      <c r="F1926" s="1574" t="s">
        <v>2421</v>
      </c>
      <c r="G1926" s="1574"/>
      <c r="H1926" s="1574"/>
      <c r="I1926" s="1574"/>
      <c r="J1926" s="1412">
        <v>0</v>
      </c>
      <c r="K1926" s="1412">
        <v>0</v>
      </c>
      <c r="L1926" s="1412">
        <v>9453.2199999999993</v>
      </c>
      <c r="M1926" s="1575">
        <v>9453.2199999999993</v>
      </c>
      <c r="N1926" s="1575"/>
      <c r="O1926" s="1575">
        <v>0</v>
      </c>
      <c r="P1926" s="1575"/>
      <c r="Q1926" s="1575">
        <v>0</v>
      </c>
      <c r="R1926" s="1575"/>
      <c r="S1926" s="1575"/>
      <c r="T1926" s="1575"/>
      <c r="U1926" s="1575"/>
    </row>
    <row r="1927" spans="1:23" ht="19.149999999999999" customHeight="1">
      <c r="A1927" s="1574" t="s">
        <v>1322</v>
      </c>
      <c r="B1927" s="1574"/>
      <c r="C1927" s="1574" t="s">
        <v>6369</v>
      </c>
      <c r="D1927" s="1574"/>
      <c r="E1927" s="1574"/>
      <c r="F1927" s="1574" t="s">
        <v>2423</v>
      </c>
      <c r="G1927" s="1574"/>
      <c r="H1927" s="1574"/>
      <c r="I1927" s="1574"/>
      <c r="J1927" s="1412">
        <v>0</v>
      </c>
      <c r="K1927" s="1412">
        <v>0</v>
      </c>
      <c r="L1927" s="1412">
        <v>0</v>
      </c>
      <c r="M1927" s="1575">
        <v>0</v>
      </c>
      <c r="N1927" s="1575"/>
      <c r="O1927" s="1575">
        <v>0</v>
      </c>
      <c r="P1927" s="1575"/>
      <c r="Q1927" s="1575">
        <v>0</v>
      </c>
      <c r="R1927" s="1575"/>
      <c r="S1927" s="1575"/>
      <c r="T1927" s="1575"/>
      <c r="U1927" s="1575"/>
    </row>
    <row r="1928" spans="1:23" ht="19.149999999999999" customHeight="1">
      <c r="A1928" s="1574" t="s">
        <v>1322</v>
      </c>
      <c r="B1928" s="1574"/>
      <c r="C1928" s="1574" t="s">
        <v>7069</v>
      </c>
      <c r="D1928" s="1574"/>
      <c r="E1928" s="1574"/>
      <c r="F1928" s="1574" t="s">
        <v>2500</v>
      </c>
      <c r="G1928" s="1574"/>
      <c r="H1928" s="1574"/>
      <c r="I1928" s="1574"/>
      <c r="J1928" s="1412">
        <v>0</v>
      </c>
      <c r="K1928" s="1412">
        <v>0</v>
      </c>
      <c r="L1928" s="1412">
        <v>15358.57</v>
      </c>
      <c r="M1928" s="1575">
        <v>15358.57</v>
      </c>
      <c r="N1928" s="1575"/>
      <c r="O1928" s="1575">
        <v>0</v>
      </c>
      <c r="P1928" s="1575"/>
      <c r="Q1928" s="1575">
        <v>0</v>
      </c>
      <c r="R1928" s="1575"/>
      <c r="S1928" s="1575"/>
      <c r="T1928" s="1575"/>
      <c r="U1928" s="1575"/>
    </row>
    <row r="1929" spans="1:23" ht="19.149999999999999" customHeight="1">
      <c r="A1929" s="1574" t="s">
        <v>1322</v>
      </c>
      <c r="B1929" s="1574"/>
      <c r="C1929" s="1574" t="s">
        <v>2747</v>
      </c>
      <c r="D1929" s="1574"/>
      <c r="E1929" s="1574"/>
      <c r="F1929" s="1574" t="s">
        <v>2387</v>
      </c>
      <c r="G1929" s="1574"/>
      <c r="H1929" s="1574"/>
      <c r="I1929" s="1574"/>
      <c r="J1929" s="1412">
        <v>0</v>
      </c>
      <c r="K1929" s="1412">
        <v>0</v>
      </c>
      <c r="L1929" s="1412">
        <v>44262.3</v>
      </c>
      <c r="M1929" s="1575">
        <v>44262.3</v>
      </c>
      <c r="N1929" s="1575"/>
      <c r="O1929" s="1575">
        <v>0</v>
      </c>
      <c r="P1929" s="1575"/>
      <c r="Q1929" s="1575">
        <v>0</v>
      </c>
      <c r="R1929" s="1575"/>
      <c r="S1929" s="1575"/>
      <c r="T1929" s="1575"/>
      <c r="U1929" s="1575"/>
    </row>
    <row r="1930" spans="1:23" ht="19.149999999999999" customHeight="1">
      <c r="A1930" s="1574" t="s">
        <v>1322</v>
      </c>
      <c r="B1930" s="1574"/>
      <c r="C1930" s="1574" t="s">
        <v>6679</v>
      </c>
      <c r="D1930" s="1574"/>
      <c r="E1930" s="1574"/>
      <c r="F1930" s="1574" t="s">
        <v>2390</v>
      </c>
      <c r="G1930" s="1574"/>
      <c r="H1930" s="1574"/>
      <c r="I1930" s="1574"/>
      <c r="J1930" s="1412">
        <v>0</v>
      </c>
      <c r="K1930" s="1412">
        <v>0</v>
      </c>
      <c r="L1930" s="1412">
        <v>74655.740000000005</v>
      </c>
      <c r="M1930" s="1575">
        <v>74655.740000000005</v>
      </c>
      <c r="N1930" s="1575"/>
      <c r="O1930" s="1575">
        <v>0</v>
      </c>
      <c r="P1930" s="1575"/>
      <c r="Q1930" s="1575">
        <v>0</v>
      </c>
      <c r="R1930" s="1575"/>
      <c r="S1930" s="1575"/>
      <c r="T1930" s="1575"/>
      <c r="U1930" s="1575"/>
    </row>
    <row r="1931" spans="1:23" ht="19.149999999999999" customHeight="1">
      <c r="A1931" s="1574" t="s">
        <v>1322</v>
      </c>
      <c r="B1931" s="1574"/>
      <c r="C1931" s="1574" t="s">
        <v>6370</v>
      </c>
      <c r="D1931" s="1574"/>
      <c r="E1931" s="1574"/>
      <c r="F1931" s="1574" t="s">
        <v>2392</v>
      </c>
      <c r="G1931" s="1574"/>
      <c r="H1931" s="1574"/>
      <c r="I1931" s="1574"/>
      <c r="J1931" s="1412">
        <v>0</v>
      </c>
      <c r="K1931" s="1412">
        <v>0</v>
      </c>
      <c r="L1931" s="1412">
        <v>3688.53</v>
      </c>
      <c r="M1931" s="1575">
        <v>3688.53</v>
      </c>
      <c r="N1931" s="1575"/>
      <c r="O1931" s="1575">
        <v>0</v>
      </c>
      <c r="P1931" s="1575"/>
      <c r="Q1931" s="1575">
        <v>0</v>
      </c>
      <c r="R1931" s="1575"/>
      <c r="S1931" s="1575"/>
      <c r="T1931" s="1575"/>
      <c r="U1931" s="1575"/>
    </row>
    <row r="1932" spans="1:23" ht="19.149999999999999" customHeight="1">
      <c r="A1932" s="1574" t="s">
        <v>1322</v>
      </c>
      <c r="B1932" s="1574"/>
      <c r="C1932" s="1574" t="s">
        <v>3288</v>
      </c>
      <c r="D1932" s="1574"/>
      <c r="E1932" s="1574"/>
      <c r="F1932" s="1574" t="s">
        <v>2455</v>
      </c>
      <c r="G1932" s="1574"/>
      <c r="H1932" s="1574"/>
      <c r="I1932" s="1574"/>
      <c r="J1932" s="1412">
        <v>0</v>
      </c>
      <c r="K1932" s="1412">
        <v>0</v>
      </c>
      <c r="L1932" s="1412">
        <v>991.64</v>
      </c>
      <c r="M1932" s="1575">
        <v>991.64</v>
      </c>
      <c r="N1932" s="1575"/>
      <c r="O1932" s="1575">
        <v>0</v>
      </c>
      <c r="P1932" s="1575"/>
      <c r="Q1932" s="1575">
        <v>0</v>
      </c>
      <c r="R1932" s="1575"/>
      <c r="S1932" s="1575"/>
      <c r="T1932" s="1575"/>
      <c r="U1932" s="1575"/>
    </row>
    <row r="1933" spans="1:23" ht="19.149999999999999" customHeight="1">
      <c r="A1933" s="1574" t="s">
        <v>1322</v>
      </c>
      <c r="B1933" s="1574"/>
      <c r="C1933" s="1574" t="s">
        <v>2748</v>
      </c>
      <c r="D1933" s="1574"/>
      <c r="E1933" s="1574"/>
      <c r="F1933" s="1574" t="s">
        <v>2396</v>
      </c>
      <c r="G1933" s="1574"/>
      <c r="H1933" s="1574"/>
      <c r="I1933" s="1574"/>
      <c r="J1933" s="1412">
        <v>0</v>
      </c>
      <c r="K1933" s="1412">
        <v>0</v>
      </c>
      <c r="L1933" s="1412">
        <v>11286.9</v>
      </c>
      <c r="M1933" s="1575">
        <v>11286.9</v>
      </c>
      <c r="N1933" s="1575"/>
      <c r="O1933" s="1575">
        <v>0</v>
      </c>
      <c r="P1933" s="1575"/>
      <c r="Q1933" s="1575">
        <v>0</v>
      </c>
      <c r="R1933" s="1575"/>
      <c r="S1933" s="1575"/>
      <c r="T1933" s="1575"/>
      <c r="U1933" s="1575"/>
    </row>
    <row r="1934" spans="1:23" ht="6.95" customHeight="1"/>
    <row r="1935" spans="1:23" ht="14.1" customHeight="1">
      <c r="S1935" s="1573" t="s">
        <v>6573</v>
      </c>
      <c r="T1935" s="1573"/>
      <c r="U1935" s="1573"/>
      <c r="V1935" s="1573"/>
      <c r="W1935" s="1573"/>
    </row>
    <row r="1936" spans="1:23" ht="7.15" customHeight="1">
      <c r="C1936" s="1586" t="s">
        <v>2987</v>
      </c>
      <c r="D1936" s="1586"/>
      <c r="E1936" s="1586"/>
      <c r="F1936" s="1586"/>
      <c r="G1936" s="1586"/>
      <c r="H1936" s="1586"/>
      <c r="I1936" s="1586"/>
      <c r="J1936" s="1586"/>
      <c r="K1936" s="1586"/>
      <c r="L1936" s="1586"/>
      <c r="M1936" s="1586"/>
      <c r="N1936" s="1586"/>
      <c r="O1936" s="1586"/>
      <c r="P1936" s="1586"/>
      <c r="Q1936" s="1586"/>
      <c r="R1936" s="1586"/>
      <c r="S1936" s="1586"/>
      <c r="T1936" s="1586"/>
    </row>
    <row r="1937" spans="1:23" ht="9.6" customHeight="1">
      <c r="A1937" s="1587"/>
      <c r="B1937" s="1587"/>
      <c r="C1937" s="1587"/>
      <c r="D1937" s="1587"/>
      <c r="E1937" s="1587"/>
      <c r="F1937" s="1587"/>
      <c r="G1937" s="1586"/>
      <c r="H1937" s="1586"/>
      <c r="I1937" s="1586"/>
      <c r="J1937" s="1586"/>
      <c r="K1937" s="1586"/>
      <c r="L1937" s="1586"/>
      <c r="M1937" s="1586"/>
      <c r="N1937" s="1586"/>
      <c r="O1937" s="1586"/>
      <c r="P1937" s="1586"/>
      <c r="Q1937" s="1586"/>
      <c r="R1937" s="1586"/>
      <c r="S1937" s="1586"/>
      <c r="T1937" s="1586"/>
    </row>
    <row r="1938" spans="1:23" ht="13.35" customHeight="1">
      <c r="A1938" s="1587"/>
      <c r="B1938" s="1587"/>
      <c r="C1938" s="1587"/>
      <c r="D1938" s="1587"/>
      <c r="E1938" s="1587"/>
      <c r="F1938" s="1587"/>
      <c r="G1938" s="1588" t="s">
        <v>79</v>
      </c>
      <c r="H1938" s="1588"/>
      <c r="I1938" s="1588"/>
      <c r="J1938" s="1588"/>
      <c r="K1938" s="1588"/>
      <c r="L1938" s="1588"/>
      <c r="M1938" s="1588"/>
      <c r="N1938" s="1588"/>
      <c r="O1938" s="1588"/>
      <c r="P1938" s="1588"/>
      <c r="Q1938" s="1588"/>
      <c r="R1938" s="1588"/>
    </row>
    <row r="1939" spans="1:23" ht="5.25" customHeight="1">
      <c r="A1939" s="1587"/>
      <c r="B1939" s="1587"/>
      <c r="C1939" s="1587"/>
      <c r="D1939" s="1587"/>
      <c r="E1939" s="1587"/>
      <c r="F1939" s="1587"/>
      <c r="G1939" s="1581" t="s">
        <v>7015</v>
      </c>
      <c r="H1939" s="1581"/>
      <c r="I1939" s="1581"/>
      <c r="J1939" s="1581"/>
      <c r="K1939" s="1581"/>
      <c r="L1939" s="1581"/>
      <c r="M1939" s="1581"/>
      <c r="N1939" s="1581"/>
      <c r="O1939" s="1581"/>
      <c r="P1939" s="1581"/>
      <c r="Q1939" s="1581"/>
    </row>
    <row r="1940" spans="1:23" ht="8.1" customHeight="1">
      <c r="B1940" s="1580" t="s">
        <v>1916</v>
      </c>
      <c r="C1940" s="1580"/>
      <c r="D1940" s="1580"/>
      <c r="E1940" s="1580"/>
      <c r="F1940" s="1580"/>
      <c r="G1940" s="1580"/>
      <c r="H1940" s="1581"/>
      <c r="I1940" s="1581"/>
      <c r="J1940" s="1581"/>
      <c r="K1940" s="1581"/>
      <c r="L1940" s="1581"/>
      <c r="M1940" s="1581"/>
      <c r="N1940" s="1582" t="s">
        <v>5619</v>
      </c>
      <c r="O1940" s="1582"/>
      <c r="P1940" s="1582"/>
      <c r="Q1940" s="1582"/>
      <c r="R1940" s="1582"/>
      <c r="S1940" s="1582"/>
      <c r="T1940" s="1583" t="s">
        <v>7016</v>
      </c>
      <c r="U1940" s="1583"/>
      <c r="V1940" s="1583"/>
      <c r="W1940" s="1583"/>
    </row>
    <row r="1941" spans="1:23" ht="6" customHeight="1">
      <c r="B1941" s="1580"/>
      <c r="C1941" s="1580"/>
      <c r="D1941" s="1580"/>
      <c r="E1941" s="1580"/>
      <c r="F1941" s="1580"/>
      <c r="G1941" s="1580"/>
      <c r="H1941" s="1584" t="s">
        <v>7017</v>
      </c>
      <c r="I1941" s="1584"/>
      <c r="J1941" s="1584"/>
      <c r="K1941" s="1584"/>
      <c r="L1941" s="1584"/>
      <c r="M1941" s="1584"/>
      <c r="N1941" s="1582"/>
      <c r="O1941" s="1582"/>
      <c r="P1941" s="1582"/>
      <c r="Q1941" s="1582"/>
      <c r="R1941" s="1582"/>
      <c r="S1941" s="1582"/>
      <c r="T1941" s="1583"/>
      <c r="U1941" s="1583"/>
      <c r="V1941" s="1583"/>
      <c r="W1941" s="1583"/>
    </row>
    <row r="1942" spans="1:23" ht="7.35" customHeight="1">
      <c r="B1942" s="1580" t="s">
        <v>1994</v>
      </c>
      <c r="C1942" s="1580"/>
      <c r="D1942" s="1580"/>
      <c r="E1942" s="1585"/>
      <c r="F1942" s="1585"/>
      <c r="G1942" s="1585"/>
      <c r="H1942" s="1585"/>
      <c r="I1942" s="1585"/>
      <c r="J1942" s="1585"/>
      <c r="K1942" s="1585"/>
      <c r="L1942" s="1585"/>
      <c r="M1942" s="1585"/>
      <c r="N1942" s="1585"/>
      <c r="O1942" s="1585"/>
      <c r="P1942" s="1585"/>
      <c r="Q1942" s="1585"/>
      <c r="R1942" s="1582"/>
      <c r="S1942" s="1582"/>
      <c r="T1942" s="1582" t="s">
        <v>7018</v>
      </c>
      <c r="U1942" s="1582"/>
    </row>
    <row r="1943" spans="1:23" ht="6.75" customHeight="1">
      <c r="E1943" s="1585"/>
      <c r="F1943" s="1585"/>
      <c r="G1943" s="1585"/>
      <c r="H1943" s="1585"/>
      <c r="I1943" s="1585"/>
      <c r="J1943" s="1585"/>
      <c r="K1943" s="1585"/>
      <c r="L1943" s="1585"/>
      <c r="M1943" s="1585"/>
      <c r="N1943" s="1585"/>
      <c r="O1943" s="1585"/>
      <c r="P1943" s="1585"/>
      <c r="Q1943" s="1585"/>
      <c r="R1943" s="1582"/>
      <c r="S1943" s="1582"/>
      <c r="T1943" s="1582"/>
      <c r="U1943" s="1582"/>
    </row>
    <row r="1944" spans="1:23" ht="10.9" customHeight="1">
      <c r="A1944" s="1576"/>
      <c r="B1944" s="1576"/>
      <c r="C1944" s="1576"/>
      <c r="D1944" s="1576"/>
      <c r="E1944" s="1576"/>
      <c r="F1944" s="1576"/>
      <c r="G1944" s="1576"/>
      <c r="H1944" s="1576"/>
      <c r="I1944" s="1576"/>
      <c r="J1944" s="1577" t="s">
        <v>1314</v>
      </c>
      <c r="K1944" s="1577"/>
      <c r="L1944" s="1577" t="s">
        <v>1315</v>
      </c>
      <c r="M1944" s="1577"/>
      <c r="N1944" s="1577"/>
      <c r="O1944" s="1577" t="s">
        <v>1316</v>
      </c>
      <c r="P1944" s="1577"/>
      <c r="Q1944" s="1577"/>
      <c r="R1944" s="1577"/>
      <c r="S1944" s="1577"/>
      <c r="T1944" s="1577"/>
      <c r="U1944" s="1577"/>
    </row>
    <row r="1945" spans="1:23" ht="14.1" customHeight="1">
      <c r="A1945" s="1578" t="s">
        <v>1317</v>
      </c>
      <c r="B1945" s="1578"/>
      <c r="C1945" s="1578" t="s">
        <v>1318</v>
      </c>
      <c r="D1945" s="1578"/>
      <c r="E1945" s="1578"/>
      <c r="F1945" s="1578" t="s">
        <v>1319</v>
      </c>
      <c r="G1945" s="1578"/>
      <c r="H1945" s="1578"/>
      <c r="I1945" s="1578"/>
      <c r="J1945" s="1413" t="s">
        <v>1320</v>
      </c>
      <c r="K1945" s="1413" t="s">
        <v>1321</v>
      </c>
      <c r="L1945" s="1413" t="s">
        <v>1320</v>
      </c>
      <c r="M1945" s="1579" t="s">
        <v>1321</v>
      </c>
      <c r="N1945" s="1579"/>
      <c r="O1945" s="1579" t="s">
        <v>1320</v>
      </c>
      <c r="P1945" s="1579"/>
      <c r="Q1945" s="1579" t="s">
        <v>1321</v>
      </c>
      <c r="R1945" s="1579"/>
      <c r="S1945" s="1579"/>
      <c r="T1945" s="1579"/>
      <c r="U1945" s="1579"/>
    </row>
    <row r="1946" spans="1:23" ht="22.5" customHeight="1">
      <c r="A1946" s="1574" t="s">
        <v>1322</v>
      </c>
      <c r="B1946" s="1574"/>
      <c r="C1946" s="1574" t="s">
        <v>2749</v>
      </c>
      <c r="D1946" s="1574"/>
      <c r="E1946" s="1574"/>
      <c r="F1946" s="1574" t="s">
        <v>2398</v>
      </c>
      <c r="G1946" s="1574"/>
      <c r="H1946" s="1574"/>
      <c r="I1946" s="1574"/>
      <c r="J1946" s="1412">
        <v>0</v>
      </c>
      <c r="K1946" s="1412">
        <v>0</v>
      </c>
      <c r="L1946" s="1412">
        <v>345.72</v>
      </c>
      <c r="M1946" s="1575">
        <v>345.72</v>
      </c>
      <c r="N1946" s="1575"/>
      <c r="O1946" s="1575">
        <v>0</v>
      </c>
      <c r="P1946" s="1575"/>
      <c r="Q1946" s="1575">
        <v>0</v>
      </c>
      <c r="R1946" s="1575"/>
      <c r="S1946" s="1575"/>
      <c r="T1946" s="1575"/>
      <c r="U1946" s="1575"/>
    </row>
    <row r="1947" spans="1:23" ht="19.149999999999999" customHeight="1">
      <c r="A1947" s="1574" t="s">
        <v>1322</v>
      </c>
      <c r="B1947" s="1574"/>
      <c r="C1947" s="1574" t="s">
        <v>2750</v>
      </c>
      <c r="D1947" s="1574"/>
      <c r="E1947" s="1574"/>
      <c r="F1947" s="1574" t="s">
        <v>2400</v>
      </c>
      <c r="G1947" s="1574"/>
      <c r="H1947" s="1574"/>
      <c r="I1947" s="1574"/>
      <c r="J1947" s="1412">
        <v>0</v>
      </c>
      <c r="K1947" s="1412">
        <v>0</v>
      </c>
      <c r="L1947" s="1412">
        <v>0</v>
      </c>
      <c r="M1947" s="1575">
        <v>0</v>
      </c>
      <c r="N1947" s="1575"/>
      <c r="O1947" s="1575">
        <v>0</v>
      </c>
      <c r="P1947" s="1575"/>
      <c r="Q1947" s="1575">
        <v>0</v>
      </c>
      <c r="R1947" s="1575"/>
      <c r="S1947" s="1575"/>
      <c r="T1947" s="1575"/>
      <c r="U1947" s="1575"/>
    </row>
    <row r="1948" spans="1:23" ht="19.149999999999999" customHeight="1">
      <c r="A1948" s="1574" t="s">
        <v>1322</v>
      </c>
      <c r="B1948" s="1574"/>
      <c r="C1948" s="1574" t="s">
        <v>2751</v>
      </c>
      <c r="D1948" s="1574"/>
      <c r="E1948" s="1574"/>
      <c r="F1948" s="1574" t="s">
        <v>2402</v>
      </c>
      <c r="G1948" s="1574"/>
      <c r="H1948" s="1574"/>
      <c r="I1948" s="1574"/>
      <c r="J1948" s="1412">
        <v>0</v>
      </c>
      <c r="K1948" s="1412">
        <v>0</v>
      </c>
      <c r="L1948" s="1412">
        <v>4919.78</v>
      </c>
      <c r="M1948" s="1575">
        <v>4919.78</v>
      </c>
      <c r="N1948" s="1575"/>
      <c r="O1948" s="1575">
        <v>0</v>
      </c>
      <c r="P1948" s="1575"/>
      <c r="Q1948" s="1575">
        <v>0</v>
      </c>
      <c r="R1948" s="1575"/>
      <c r="S1948" s="1575"/>
      <c r="T1948" s="1575"/>
      <c r="U1948" s="1575"/>
    </row>
    <row r="1949" spans="1:23" ht="19.149999999999999" customHeight="1">
      <c r="A1949" s="1574" t="s">
        <v>1322</v>
      </c>
      <c r="B1949" s="1574"/>
      <c r="C1949" s="1574" t="s">
        <v>2752</v>
      </c>
      <c r="D1949" s="1574"/>
      <c r="E1949" s="1574"/>
      <c r="F1949" s="1574" t="s">
        <v>2443</v>
      </c>
      <c r="G1949" s="1574"/>
      <c r="H1949" s="1574"/>
      <c r="I1949" s="1574"/>
      <c r="J1949" s="1412">
        <v>0</v>
      </c>
      <c r="K1949" s="1412">
        <v>0</v>
      </c>
      <c r="L1949" s="1412">
        <v>273204.92</v>
      </c>
      <c r="M1949" s="1575">
        <v>273204.92</v>
      </c>
      <c r="N1949" s="1575"/>
      <c r="O1949" s="1575">
        <v>0</v>
      </c>
      <c r="P1949" s="1575"/>
      <c r="Q1949" s="1575">
        <v>0</v>
      </c>
      <c r="R1949" s="1575"/>
      <c r="S1949" s="1575"/>
      <c r="T1949" s="1575"/>
      <c r="U1949" s="1575"/>
    </row>
    <row r="1950" spans="1:23" ht="19.149999999999999" customHeight="1">
      <c r="A1950" s="1574" t="s">
        <v>1322</v>
      </c>
      <c r="B1950" s="1574"/>
      <c r="C1950" s="1574" t="s">
        <v>5850</v>
      </c>
      <c r="D1950" s="1574"/>
      <c r="E1950" s="1574"/>
      <c r="F1950" s="1574" t="s">
        <v>2445</v>
      </c>
      <c r="G1950" s="1574"/>
      <c r="H1950" s="1574"/>
      <c r="I1950" s="1574"/>
      <c r="J1950" s="1412">
        <v>0</v>
      </c>
      <c r="K1950" s="1412">
        <v>0</v>
      </c>
      <c r="L1950" s="1412">
        <v>126656.37</v>
      </c>
      <c r="M1950" s="1575">
        <v>126656.37</v>
      </c>
      <c r="N1950" s="1575"/>
      <c r="O1950" s="1575">
        <v>0</v>
      </c>
      <c r="P1950" s="1575"/>
      <c r="Q1950" s="1575">
        <v>0</v>
      </c>
      <c r="R1950" s="1575"/>
      <c r="S1950" s="1575"/>
      <c r="T1950" s="1575"/>
      <c r="U1950" s="1575"/>
    </row>
    <row r="1951" spans="1:23" ht="19.149999999999999" customHeight="1">
      <c r="A1951" s="1574" t="s">
        <v>1322</v>
      </c>
      <c r="B1951" s="1574"/>
      <c r="C1951" s="1574" t="s">
        <v>5985</v>
      </c>
      <c r="D1951" s="1574"/>
      <c r="E1951" s="1574"/>
      <c r="F1951" s="1574" t="s">
        <v>2443</v>
      </c>
      <c r="G1951" s="1574"/>
      <c r="H1951" s="1574"/>
      <c r="I1951" s="1574"/>
      <c r="J1951" s="1412">
        <v>0</v>
      </c>
      <c r="K1951" s="1412">
        <v>0</v>
      </c>
      <c r="L1951" s="1412">
        <v>82586</v>
      </c>
      <c r="M1951" s="1575">
        <v>82586</v>
      </c>
      <c r="N1951" s="1575"/>
      <c r="O1951" s="1575">
        <v>0</v>
      </c>
      <c r="P1951" s="1575"/>
      <c r="Q1951" s="1575">
        <v>0</v>
      </c>
      <c r="R1951" s="1575"/>
      <c r="S1951" s="1575"/>
      <c r="T1951" s="1575"/>
      <c r="U1951" s="1575"/>
    </row>
    <row r="1952" spans="1:23" ht="19.149999999999999" customHeight="1">
      <c r="A1952" s="1574" t="s">
        <v>1322</v>
      </c>
      <c r="B1952" s="1574"/>
      <c r="C1952" s="1574" t="s">
        <v>6272</v>
      </c>
      <c r="D1952" s="1574"/>
      <c r="E1952" s="1574"/>
      <c r="F1952" s="1574" t="s">
        <v>2445</v>
      </c>
      <c r="G1952" s="1574"/>
      <c r="H1952" s="1574"/>
      <c r="I1952" s="1574"/>
      <c r="J1952" s="1412">
        <v>0</v>
      </c>
      <c r="K1952" s="1412">
        <v>0</v>
      </c>
      <c r="L1952" s="1412">
        <v>0</v>
      </c>
      <c r="M1952" s="1575">
        <v>0</v>
      </c>
      <c r="N1952" s="1575"/>
      <c r="O1952" s="1575">
        <v>0</v>
      </c>
      <c r="P1952" s="1575"/>
      <c r="Q1952" s="1575">
        <v>0</v>
      </c>
      <c r="R1952" s="1575"/>
      <c r="S1952" s="1575"/>
      <c r="T1952" s="1575"/>
      <c r="U1952" s="1575"/>
    </row>
    <row r="1953" spans="1:21" ht="19.149999999999999" customHeight="1">
      <c r="A1953" s="1574" t="s">
        <v>1322</v>
      </c>
      <c r="B1953" s="1574"/>
      <c r="C1953" s="1574" t="s">
        <v>5986</v>
      </c>
      <c r="D1953" s="1574"/>
      <c r="E1953" s="1574"/>
      <c r="F1953" s="1574" t="s">
        <v>2443</v>
      </c>
      <c r="G1953" s="1574"/>
      <c r="H1953" s="1574"/>
      <c r="I1953" s="1574"/>
      <c r="J1953" s="1412">
        <v>0</v>
      </c>
      <c r="K1953" s="1412">
        <v>0</v>
      </c>
      <c r="L1953" s="1412">
        <v>750365.41</v>
      </c>
      <c r="M1953" s="1575">
        <v>750365.41</v>
      </c>
      <c r="N1953" s="1575"/>
      <c r="O1953" s="1575">
        <v>0</v>
      </c>
      <c r="P1953" s="1575"/>
      <c r="Q1953" s="1575">
        <v>0</v>
      </c>
      <c r="R1953" s="1575"/>
      <c r="S1953" s="1575"/>
      <c r="T1953" s="1575"/>
      <c r="U1953" s="1575"/>
    </row>
    <row r="1954" spans="1:21" ht="19.149999999999999" customHeight="1">
      <c r="A1954" s="1574" t="s">
        <v>1322</v>
      </c>
      <c r="B1954" s="1574"/>
      <c r="C1954" s="1574" t="s">
        <v>5851</v>
      </c>
      <c r="D1954" s="1574"/>
      <c r="E1954" s="1574"/>
      <c r="F1954" s="1574" t="s">
        <v>2445</v>
      </c>
      <c r="G1954" s="1574"/>
      <c r="H1954" s="1574"/>
      <c r="I1954" s="1574"/>
      <c r="J1954" s="1412">
        <v>0</v>
      </c>
      <c r="K1954" s="1412">
        <v>0</v>
      </c>
      <c r="L1954" s="1412">
        <v>132762</v>
      </c>
      <c r="M1954" s="1575">
        <v>132762</v>
      </c>
      <c r="N1954" s="1575"/>
      <c r="O1954" s="1575">
        <v>0</v>
      </c>
      <c r="P1954" s="1575"/>
      <c r="Q1954" s="1575">
        <v>0</v>
      </c>
      <c r="R1954" s="1575"/>
      <c r="S1954" s="1575"/>
      <c r="T1954" s="1575"/>
      <c r="U1954" s="1575"/>
    </row>
    <row r="1955" spans="1:21" ht="19.149999999999999" customHeight="1">
      <c r="A1955" s="1574" t="s">
        <v>1322</v>
      </c>
      <c r="B1955" s="1574"/>
      <c r="C1955" s="1574" t="s">
        <v>5987</v>
      </c>
      <c r="D1955" s="1574"/>
      <c r="E1955" s="1574"/>
      <c r="F1955" s="1574" t="s">
        <v>2443</v>
      </c>
      <c r="G1955" s="1574"/>
      <c r="H1955" s="1574"/>
      <c r="I1955" s="1574"/>
      <c r="J1955" s="1412">
        <v>0</v>
      </c>
      <c r="K1955" s="1412">
        <v>0</v>
      </c>
      <c r="L1955" s="1412">
        <v>5946</v>
      </c>
      <c r="M1955" s="1575">
        <v>5946</v>
      </c>
      <c r="N1955" s="1575"/>
      <c r="O1955" s="1575">
        <v>0</v>
      </c>
      <c r="P1955" s="1575"/>
      <c r="Q1955" s="1575">
        <v>0</v>
      </c>
      <c r="R1955" s="1575"/>
      <c r="S1955" s="1575"/>
      <c r="T1955" s="1575"/>
      <c r="U1955" s="1575"/>
    </row>
    <row r="1956" spans="1:21" ht="19.149999999999999" customHeight="1">
      <c r="A1956" s="1574" t="s">
        <v>1322</v>
      </c>
      <c r="B1956" s="1574"/>
      <c r="C1956" s="1574" t="s">
        <v>5929</v>
      </c>
      <c r="D1956" s="1574"/>
      <c r="E1956" s="1574"/>
      <c r="F1956" s="1574" t="s">
        <v>2445</v>
      </c>
      <c r="G1956" s="1574"/>
      <c r="H1956" s="1574"/>
      <c r="I1956" s="1574"/>
      <c r="J1956" s="1412">
        <v>0</v>
      </c>
      <c r="K1956" s="1412">
        <v>0</v>
      </c>
      <c r="L1956" s="1412">
        <v>278427.08</v>
      </c>
      <c r="M1956" s="1575">
        <v>278427.08</v>
      </c>
      <c r="N1956" s="1575"/>
      <c r="O1956" s="1575">
        <v>0</v>
      </c>
      <c r="P1956" s="1575"/>
      <c r="Q1956" s="1575">
        <v>0</v>
      </c>
      <c r="R1956" s="1575"/>
      <c r="S1956" s="1575"/>
      <c r="T1956" s="1575"/>
      <c r="U1956" s="1575"/>
    </row>
    <row r="1957" spans="1:21" ht="19.149999999999999" customHeight="1">
      <c r="A1957" s="1574" t="s">
        <v>1322</v>
      </c>
      <c r="B1957" s="1574"/>
      <c r="C1957" s="1574" t="s">
        <v>2753</v>
      </c>
      <c r="D1957" s="1574"/>
      <c r="E1957" s="1574"/>
      <c r="F1957" s="1574" t="s">
        <v>2387</v>
      </c>
      <c r="G1957" s="1574"/>
      <c r="H1957" s="1574"/>
      <c r="I1957" s="1574"/>
      <c r="J1957" s="1412">
        <v>0</v>
      </c>
      <c r="K1957" s="1412">
        <v>0</v>
      </c>
      <c r="L1957" s="1412">
        <v>348709.8</v>
      </c>
      <c r="M1957" s="1575">
        <v>348709.8</v>
      </c>
      <c r="N1957" s="1575"/>
      <c r="O1957" s="1575">
        <v>0</v>
      </c>
      <c r="P1957" s="1575"/>
      <c r="Q1957" s="1575">
        <v>0</v>
      </c>
      <c r="R1957" s="1575"/>
      <c r="S1957" s="1575"/>
      <c r="T1957" s="1575"/>
      <c r="U1957" s="1575"/>
    </row>
    <row r="1958" spans="1:21" ht="19.149999999999999" customHeight="1">
      <c r="A1958" s="1574" t="s">
        <v>1322</v>
      </c>
      <c r="B1958" s="1574"/>
      <c r="C1958" s="1574" t="s">
        <v>7070</v>
      </c>
      <c r="D1958" s="1574"/>
      <c r="E1958" s="1574"/>
      <c r="F1958" s="1574" t="s">
        <v>2390</v>
      </c>
      <c r="G1958" s="1574"/>
      <c r="H1958" s="1574"/>
      <c r="I1958" s="1574"/>
      <c r="J1958" s="1412">
        <v>0</v>
      </c>
      <c r="K1958" s="1412">
        <v>0</v>
      </c>
      <c r="L1958" s="1412">
        <v>593152.66</v>
      </c>
      <c r="M1958" s="1575">
        <v>593152.66</v>
      </c>
      <c r="N1958" s="1575"/>
      <c r="O1958" s="1575">
        <v>0</v>
      </c>
      <c r="P1958" s="1575"/>
      <c r="Q1958" s="1575">
        <v>0</v>
      </c>
      <c r="R1958" s="1575"/>
      <c r="S1958" s="1575"/>
      <c r="T1958" s="1575"/>
      <c r="U1958" s="1575"/>
    </row>
    <row r="1959" spans="1:21" ht="19.149999999999999" customHeight="1">
      <c r="A1959" s="1574" t="s">
        <v>1322</v>
      </c>
      <c r="B1959" s="1574"/>
      <c r="C1959" s="1574" t="s">
        <v>6371</v>
      </c>
      <c r="D1959" s="1574"/>
      <c r="E1959" s="1574"/>
      <c r="F1959" s="1574" t="s">
        <v>2392</v>
      </c>
      <c r="G1959" s="1574"/>
      <c r="H1959" s="1574"/>
      <c r="I1959" s="1574"/>
      <c r="J1959" s="1412">
        <v>0</v>
      </c>
      <c r="K1959" s="1412">
        <v>0</v>
      </c>
      <c r="L1959" s="1412">
        <v>29059.17</v>
      </c>
      <c r="M1959" s="1575">
        <v>29059.17</v>
      </c>
      <c r="N1959" s="1575"/>
      <c r="O1959" s="1575">
        <v>0</v>
      </c>
      <c r="P1959" s="1575"/>
      <c r="Q1959" s="1575">
        <v>0</v>
      </c>
      <c r="R1959" s="1575"/>
      <c r="S1959" s="1575"/>
      <c r="T1959" s="1575"/>
      <c r="U1959" s="1575"/>
    </row>
    <row r="1960" spans="1:21" ht="19.149999999999999" customHeight="1">
      <c r="A1960" s="1574" t="s">
        <v>1322</v>
      </c>
      <c r="B1960" s="1574"/>
      <c r="C1960" s="1574" t="s">
        <v>2754</v>
      </c>
      <c r="D1960" s="1574"/>
      <c r="E1960" s="1574"/>
      <c r="F1960" s="1574" t="s">
        <v>2396</v>
      </c>
      <c r="G1960" s="1574"/>
      <c r="H1960" s="1574"/>
      <c r="I1960" s="1574"/>
      <c r="J1960" s="1412">
        <v>0</v>
      </c>
      <c r="K1960" s="1412">
        <v>0</v>
      </c>
      <c r="L1960" s="1412">
        <v>88921.04</v>
      </c>
      <c r="M1960" s="1575">
        <v>88921.04</v>
      </c>
      <c r="N1960" s="1575"/>
      <c r="O1960" s="1575">
        <v>0</v>
      </c>
      <c r="P1960" s="1575"/>
      <c r="Q1960" s="1575">
        <v>0</v>
      </c>
      <c r="R1960" s="1575"/>
      <c r="S1960" s="1575"/>
      <c r="T1960" s="1575"/>
      <c r="U1960" s="1575"/>
    </row>
    <row r="1961" spans="1:21" ht="19.149999999999999" customHeight="1">
      <c r="A1961" s="1574" t="s">
        <v>1322</v>
      </c>
      <c r="B1961" s="1574"/>
      <c r="C1961" s="1574" t="s">
        <v>2755</v>
      </c>
      <c r="D1961" s="1574"/>
      <c r="E1961" s="1574"/>
      <c r="F1961" s="1574" t="s">
        <v>2398</v>
      </c>
      <c r="G1961" s="1574"/>
      <c r="H1961" s="1574"/>
      <c r="I1961" s="1574"/>
      <c r="J1961" s="1412">
        <v>0</v>
      </c>
      <c r="K1961" s="1412">
        <v>0</v>
      </c>
      <c r="L1961" s="1412">
        <v>2592.89</v>
      </c>
      <c r="M1961" s="1575">
        <v>2592.89</v>
      </c>
      <c r="N1961" s="1575"/>
      <c r="O1961" s="1575">
        <v>0</v>
      </c>
      <c r="P1961" s="1575"/>
      <c r="Q1961" s="1575">
        <v>0</v>
      </c>
      <c r="R1961" s="1575"/>
      <c r="S1961" s="1575"/>
      <c r="T1961" s="1575"/>
      <c r="U1961" s="1575"/>
    </row>
    <row r="1962" spans="1:21" ht="19.149999999999999" customHeight="1">
      <c r="A1962" s="1574" t="s">
        <v>1322</v>
      </c>
      <c r="B1962" s="1574"/>
      <c r="C1962" s="1574" t="s">
        <v>2756</v>
      </c>
      <c r="D1962" s="1574"/>
      <c r="E1962" s="1574"/>
      <c r="F1962" s="1574" t="s">
        <v>2400</v>
      </c>
      <c r="G1962" s="1574"/>
      <c r="H1962" s="1574"/>
      <c r="I1962" s="1574"/>
      <c r="J1962" s="1412">
        <v>0</v>
      </c>
      <c r="K1962" s="1412">
        <v>0</v>
      </c>
      <c r="L1962" s="1412">
        <v>0</v>
      </c>
      <c r="M1962" s="1575">
        <v>0</v>
      </c>
      <c r="N1962" s="1575"/>
      <c r="O1962" s="1575">
        <v>0</v>
      </c>
      <c r="P1962" s="1575"/>
      <c r="Q1962" s="1575">
        <v>0</v>
      </c>
      <c r="R1962" s="1575"/>
      <c r="S1962" s="1575"/>
      <c r="T1962" s="1575"/>
      <c r="U1962" s="1575"/>
    </row>
    <row r="1963" spans="1:21" ht="19.149999999999999" customHeight="1">
      <c r="A1963" s="1574" t="s">
        <v>1322</v>
      </c>
      <c r="B1963" s="1574"/>
      <c r="C1963" s="1574" t="s">
        <v>2757</v>
      </c>
      <c r="D1963" s="1574"/>
      <c r="E1963" s="1574"/>
      <c r="F1963" s="1574" t="s">
        <v>2402</v>
      </c>
      <c r="G1963" s="1574"/>
      <c r="H1963" s="1574"/>
      <c r="I1963" s="1574"/>
      <c r="J1963" s="1412">
        <v>0</v>
      </c>
      <c r="K1963" s="1412">
        <v>0</v>
      </c>
      <c r="L1963" s="1412">
        <v>21508.799999999999</v>
      </c>
      <c r="M1963" s="1575">
        <v>21508.799999999999</v>
      </c>
      <c r="N1963" s="1575"/>
      <c r="O1963" s="1575">
        <v>0</v>
      </c>
      <c r="P1963" s="1575"/>
      <c r="Q1963" s="1575">
        <v>0</v>
      </c>
      <c r="R1963" s="1575"/>
      <c r="S1963" s="1575"/>
      <c r="T1963" s="1575"/>
      <c r="U1963" s="1575"/>
    </row>
    <row r="1964" spans="1:21" ht="19.149999999999999" customHeight="1">
      <c r="A1964" s="1574" t="s">
        <v>1322</v>
      </c>
      <c r="B1964" s="1574"/>
      <c r="C1964" s="1574" t="s">
        <v>3338</v>
      </c>
      <c r="D1964" s="1574"/>
      <c r="E1964" s="1574"/>
      <c r="F1964" s="1574" t="s">
        <v>2462</v>
      </c>
      <c r="G1964" s="1574"/>
      <c r="H1964" s="1574"/>
      <c r="I1964" s="1574"/>
      <c r="J1964" s="1412">
        <v>0</v>
      </c>
      <c r="K1964" s="1412">
        <v>0</v>
      </c>
      <c r="L1964" s="1412">
        <v>5926.07</v>
      </c>
      <c r="M1964" s="1575">
        <v>5926.07</v>
      </c>
      <c r="N1964" s="1575"/>
      <c r="O1964" s="1575">
        <v>0</v>
      </c>
      <c r="P1964" s="1575"/>
      <c r="Q1964" s="1575">
        <v>0</v>
      </c>
      <c r="R1964" s="1575"/>
      <c r="S1964" s="1575"/>
      <c r="T1964" s="1575"/>
      <c r="U1964" s="1575"/>
    </row>
    <row r="1965" spans="1:21" ht="19.149999999999999" customHeight="1">
      <c r="A1965" s="1574" t="s">
        <v>1322</v>
      </c>
      <c r="B1965" s="1574"/>
      <c r="C1965" s="1574" t="s">
        <v>5852</v>
      </c>
      <c r="D1965" s="1574"/>
      <c r="E1965" s="1574"/>
      <c r="F1965" s="1574" t="s">
        <v>2464</v>
      </c>
      <c r="G1965" s="1574"/>
      <c r="H1965" s="1574"/>
      <c r="I1965" s="1574"/>
      <c r="J1965" s="1412">
        <v>0</v>
      </c>
      <c r="K1965" s="1412">
        <v>0</v>
      </c>
      <c r="L1965" s="1412">
        <v>0</v>
      </c>
      <c r="M1965" s="1575">
        <v>0</v>
      </c>
      <c r="N1965" s="1575"/>
      <c r="O1965" s="1575">
        <v>0</v>
      </c>
      <c r="P1965" s="1575"/>
      <c r="Q1965" s="1575">
        <v>0</v>
      </c>
      <c r="R1965" s="1575"/>
      <c r="S1965" s="1575"/>
      <c r="T1965" s="1575"/>
      <c r="U1965" s="1575"/>
    </row>
    <row r="1966" spans="1:21" ht="19.149999999999999" customHeight="1">
      <c r="A1966" s="1574" t="s">
        <v>1322</v>
      </c>
      <c r="B1966" s="1574"/>
      <c r="C1966" s="1574" t="s">
        <v>5853</v>
      </c>
      <c r="D1966" s="1574"/>
      <c r="E1966" s="1574"/>
      <c r="F1966" s="1574" t="s">
        <v>2466</v>
      </c>
      <c r="G1966" s="1574"/>
      <c r="H1966" s="1574"/>
      <c r="I1966" s="1574"/>
      <c r="J1966" s="1412">
        <v>0</v>
      </c>
      <c r="K1966" s="1412">
        <v>0</v>
      </c>
      <c r="L1966" s="1412">
        <v>8564</v>
      </c>
      <c r="M1966" s="1575">
        <v>8564</v>
      </c>
      <c r="N1966" s="1575"/>
      <c r="O1966" s="1575">
        <v>0</v>
      </c>
      <c r="P1966" s="1575"/>
      <c r="Q1966" s="1575">
        <v>0</v>
      </c>
      <c r="R1966" s="1575"/>
      <c r="S1966" s="1575"/>
      <c r="T1966" s="1575"/>
      <c r="U1966" s="1575"/>
    </row>
    <row r="1967" spans="1:21" ht="19.149999999999999" customHeight="1">
      <c r="A1967" s="1574" t="s">
        <v>1322</v>
      </c>
      <c r="B1967" s="1574"/>
      <c r="C1967" s="1574" t="s">
        <v>3339</v>
      </c>
      <c r="D1967" s="1574"/>
      <c r="E1967" s="1574"/>
      <c r="F1967" s="1574" t="s">
        <v>2468</v>
      </c>
      <c r="G1967" s="1574"/>
      <c r="H1967" s="1574"/>
      <c r="I1967" s="1574"/>
      <c r="J1967" s="1412">
        <v>0</v>
      </c>
      <c r="K1967" s="1412">
        <v>0</v>
      </c>
      <c r="L1967" s="1412">
        <v>2586.8000000000002</v>
      </c>
      <c r="M1967" s="1575">
        <v>2586.8000000000002</v>
      </c>
      <c r="N1967" s="1575"/>
      <c r="O1967" s="1575">
        <v>0</v>
      </c>
      <c r="P1967" s="1575"/>
      <c r="Q1967" s="1575">
        <v>0</v>
      </c>
      <c r="R1967" s="1575"/>
      <c r="S1967" s="1575"/>
      <c r="T1967" s="1575"/>
      <c r="U1967" s="1575"/>
    </row>
    <row r="1968" spans="1:21" ht="19.149999999999999" customHeight="1">
      <c r="A1968" s="1574" t="s">
        <v>1322</v>
      </c>
      <c r="B1968" s="1574"/>
      <c r="C1968" s="1574" t="s">
        <v>6680</v>
      </c>
      <c r="D1968" s="1574"/>
      <c r="E1968" s="1574"/>
      <c r="F1968" s="1574" t="s">
        <v>2470</v>
      </c>
      <c r="G1968" s="1574"/>
      <c r="H1968" s="1574"/>
      <c r="I1968" s="1574"/>
      <c r="J1968" s="1412">
        <v>0</v>
      </c>
      <c r="K1968" s="1412">
        <v>0</v>
      </c>
      <c r="L1968" s="1412">
        <v>0</v>
      </c>
      <c r="M1968" s="1575">
        <v>0</v>
      </c>
      <c r="N1968" s="1575"/>
      <c r="O1968" s="1575">
        <v>0</v>
      </c>
      <c r="P1968" s="1575"/>
      <c r="Q1968" s="1575">
        <v>0</v>
      </c>
      <c r="R1968" s="1575"/>
      <c r="S1968" s="1575"/>
      <c r="T1968" s="1575"/>
      <c r="U1968" s="1575"/>
    </row>
    <row r="1969" spans="1:23" ht="6.95" customHeight="1"/>
    <row r="1970" spans="1:23" ht="14.1" customHeight="1">
      <c r="S1970" s="1573" t="s">
        <v>6574</v>
      </c>
      <c r="T1970" s="1573"/>
      <c r="U1970" s="1573"/>
      <c r="V1970" s="1573"/>
      <c r="W1970" s="1573"/>
    </row>
    <row r="1971" spans="1:23" ht="7.15" customHeight="1">
      <c r="C1971" s="1586" t="s">
        <v>2987</v>
      </c>
      <c r="D1971" s="1586"/>
      <c r="E1971" s="1586"/>
      <c r="F1971" s="1586"/>
      <c r="G1971" s="1586"/>
      <c r="H1971" s="1586"/>
      <c r="I1971" s="1586"/>
      <c r="J1971" s="1586"/>
      <c r="K1971" s="1586"/>
      <c r="L1971" s="1586"/>
      <c r="M1971" s="1586"/>
      <c r="N1971" s="1586"/>
      <c r="O1971" s="1586"/>
      <c r="P1971" s="1586"/>
      <c r="Q1971" s="1586"/>
      <c r="R1971" s="1586"/>
      <c r="S1971" s="1586"/>
      <c r="T1971" s="1586"/>
    </row>
    <row r="1972" spans="1:23" ht="9.6" customHeight="1">
      <c r="A1972" s="1587"/>
      <c r="B1972" s="1587"/>
      <c r="C1972" s="1587"/>
      <c r="D1972" s="1587"/>
      <c r="E1972" s="1587"/>
      <c r="F1972" s="1587"/>
      <c r="G1972" s="1586"/>
      <c r="H1972" s="1586"/>
      <c r="I1972" s="1586"/>
      <c r="J1972" s="1586"/>
      <c r="K1972" s="1586"/>
      <c r="L1972" s="1586"/>
      <c r="M1972" s="1586"/>
      <c r="N1972" s="1586"/>
      <c r="O1972" s="1586"/>
      <c r="P1972" s="1586"/>
      <c r="Q1972" s="1586"/>
      <c r="R1972" s="1586"/>
      <c r="S1972" s="1586"/>
      <c r="T1972" s="1586"/>
    </row>
    <row r="1973" spans="1:23" ht="13.35" customHeight="1">
      <c r="A1973" s="1587"/>
      <c r="B1973" s="1587"/>
      <c r="C1973" s="1587"/>
      <c r="D1973" s="1587"/>
      <c r="E1973" s="1587"/>
      <c r="F1973" s="1587"/>
      <c r="G1973" s="1588" t="s">
        <v>79</v>
      </c>
      <c r="H1973" s="1588"/>
      <c r="I1973" s="1588"/>
      <c r="J1973" s="1588"/>
      <c r="K1973" s="1588"/>
      <c r="L1973" s="1588"/>
      <c r="M1973" s="1588"/>
      <c r="N1973" s="1588"/>
      <c r="O1973" s="1588"/>
      <c r="P1973" s="1588"/>
      <c r="Q1973" s="1588"/>
      <c r="R1973" s="1588"/>
    </row>
    <row r="1974" spans="1:23" ht="5.25" customHeight="1">
      <c r="A1974" s="1587"/>
      <c r="B1974" s="1587"/>
      <c r="C1974" s="1587"/>
      <c r="D1974" s="1587"/>
      <c r="E1974" s="1587"/>
      <c r="F1974" s="1587"/>
      <c r="G1974" s="1581" t="s">
        <v>7015</v>
      </c>
      <c r="H1974" s="1581"/>
      <c r="I1974" s="1581"/>
      <c r="J1974" s="1581"/>
      <c r="K1974" s="1581"/>
      <c r="L1974" s="1581"/>
      <c r="M1974" s="1581"/>
      <c r="N1974" s="1581"/>
      <c r="O1974" s="1581"/>
      <c r="P1974" s="1581"/>
      <c r="Q1974" s="1581"/>
    </row>
    <row r="1975" spans="1:23" ht="8.1" customHeight="1">
      <c r="B1975" s="1580" t="s">
        <v>1916</v>
      </c>
      <c r="C1975" s="1580"/>
      <c r="D1975" s="1580"/>
      <c r="E1975" s="1580"/>
      <c r="F1975" s="1580"/>
      <c r="G1975" s="1580"/>
      <c r="H1975" s="1581"/>
      <c r="I1975" s="1581"/>
      <c r="J1975" s="1581"/>
      <c r="K1975" s="1581"/>
      <c r="L1975" s="1581"/>
      <c r="M1975" s="1581"/>
      <c r="N1975" s="1582" t="s">
        <v>5619</v>
      </c>
      <c r="O1975" s="1582"/>
      <c r="P1975" s="1582"/>
      <c r="Q1975" s="1582"/>
      <c r="R1975" s="1582"/>
      <c r="S1975" s="1582"/>
      <c r="T1975" s="1583" t="s">
        <v>7016</v>
      </c>
      <c r="U1975" s="1583"/>
      <c r="V1975" s="1583"/>
      <c r="W1975" s="1583"/>
    </row>
    <row r="1976" spans="1:23" ht="6" customHeight="1">
      <c r="B1976" s="1580"/>
      <c r="C1976" s="1580"/>
      <c r="D1976" s="1580"/>
      <c r="E1976" s="1580"/>
      <c r="F1976" s="1580"/>
      <c r="G1976" s="1580"/>
      <c r="H1976" s="1584" t="s">
        <v>7017</v>
      </c>
      <c r="I1976" s="1584"/>
      <c r="J1976" s="1584"/>
      <c r="K1976" s="1584"/>
      <c r="L1976" s="1584"/>
      <c r="M1976" s="1584"/>
      <c r="N1976" s="1582"/>
      <c r="O1976" s="1582"/>
      <c r="P1976" s="1582"/>
      <c r="Q1976" s="1582"/>
      <c r="R1976" s="1582"/>
      <c r="S1976" s="1582"/>
      <c r="T1976" s="1583"/>
      <c r="U1976" s="1583"/>
      <c r="V1976" s="1583"/>
      <c r="W1976" s="1583"/>
    </row>
    <row r="1977" spans="1:23" ht="7.35" customHeight="1">
      <c r="B1977" s="1580" t="s">
        <v>1994</v>
      </c>
      <c r="C1977" s="1580"/>
      <c r="D1977" s="1580"/>
      <c r="E1977" s="1585"/>
      <c r="F1977" s="1585"/>
      <c r="G1977" s="1585"/>
      <c r="H1977" s="1585"/>
      <c r="I1977" s="1585"/>
      <c r="J1977" s="1585"/>
      <c r="K1977" s="1585"/>
      <c r="L1977" s="1585"/>
      <c r="M1977" s="1585"/>
      <c r="N1977" s="1585"/>
      <c r="O1977" s="1585"/>
      <c r="P1977" s="1585"/>
      <c r="Q1977" s="1585"/>
      <c r="R1977" s="1582"/>
      <c r="S1977" s="1582"/>
      <c r="T1977" s="1582" t="s">
        <v>7018</v>
      </c>
      <c r="U1977" s="1582"/>
    </row>
    <row r="1978" spans="1:23" ht="6.75" customHeight="1">
      <c r="E1978" s="1585"/>
      <c r="F1978" s="1585"/>
      <c r="G1978" s="1585"/>
      <c r="H1978" s="1585"/>
      <c r="I1978" s="1585"/>
      <c r="J1978" s="1585"/>
      <c r="K1978" s="1585"/>
      <c r="L1978" s="1585"/>
      <c r="M1978" s="1585"/>
      <c r="N1978" s="1585"/>
      <c r="O1978" s="1585"/>
      <c r="P1978" s="1585"/>
      <c r="Q1978" s="1585"/>
      <c r="R1978" s="1582"/>
      <c r="S1978" s="1582"/>
      <c r="T1978" s="1582"/>
      <c r="U1978" s="1582"/>
    </row>
    <row r="1979" spans="1:23" ht="10.9" customHeight="1">
      <c r="A1979" s="1576"/>
      <c r="B1979" s="1576"/>
      <c r="C1979" s="1576"/>
      <c r="D1979" s="1576"/>
      <c r="E1979" s="1576"/>
      <c r="F1979" s="1576"/>
      <c r="G1979" s="1576"/>
      <c r="H1979" s="1576"/>
      <c r="I1979" s="1576"/>
      <c r="J1979" s="1577" t="s">
        <v>1314</v>
      </c>
      <c r="K1979" s="1577"/>
      <c r="L1979" s="1577" t="s">
        <v>1315</v>
      </c>
      <c r="M1979" s="1577"/>
      <c r="N1979" s="1577"/>
      <c r="O1979" s="1577" t="s">
        <v>1316</v>
      </c>
      <c r="P1979" s="1577"/>
      <c r="Q1979" s="1577"/>
      <c r="R1979" s="1577"/>
      <c r="S1979" s="1577"/>
      <c r="T1979" s="1577"/>
      <c r="U1979" s="1577"/>
    </row>
    <row r="1980" spans="1:23" ht="14.1" customHeight="1">
      <c r="A1980" s="1578" t="s">
        <v>1317</v>
      </c>
      <c r="B1980" s="1578"/>
      <c r="C1980" s="1578" t="s">
        <v>1318</v>
      </c>
      <c r="D1980" s="1578"/>
      <c r="E1980" s="1578"/>
      <c r="F1980" s="1578" t="s">
        <v>1319</v>
      </c>
      <c r="G1980" s="1578"/>
      <c r="H1980" s="1578"/>
      <c r="I1980" s="1578"/>
      <c r="J1980" s="1413" t="s">
        <v>1320</v>
      </c>
      <c r="K1980" s="1413" t="s">
        <v>1321</v>
      </c>
      <c r="L1980" s="1413" t="s">
        <v>1320</v>
      </c>
      <c r="M1980" s="1579" t="s">
        <v>1321</v>
      </c>
      <c r="N1980" s="1579"/>
      <c r="O1980" s="1579" t="s">
        <v>1320</v>
      </c>
      <c r="P1980" s="1579"/>
      <c r="Q1980" s="1579" t="s">
        <v>1321</v>
      </c>
      <c r="R1980" s="1579"/>
      <c r="S1980" s="1579"/>
      <c r="T1980" s="1579"/>
      <c r="U1980" s="1579"/>
    </row>
    <row r="1981" spans="1:23" ht="22.5" customHeight="1">
      <c r="A1981" s="1574" t="s">
        <v>1322</v>
      </c>
      <c r="B1981" s="1574"/>
      <c r="C1981" s="1574" t="s">
        <v>2758</v>
      </c>
      <c r="D1981" s="1574"/>
      <c r="E1981" s="1574"/>
      <c r="F1981" s="1574" t="s">
        <v>2416</v>
      </c>
      <c r="G1981" s="1574"/>
      <c r="H1981" s="1574"/>
      <c r="I1981" s="1574"/>
      <c r="J1981" s="1412">
        <v>0</v>
      </c>
      <c r="K1981" s="1412">
        <v>0</v>
      </c>
      <c r="L1981" s="1412">
        <v>11540.1</v>
      </c>
      <c r="M1981" s="1575">
        <v>11540.1</v>
      </c>
      <c r="N1981" s="1575"/>
      <c r="O1981" s="1575">
        <v>0</v>
      </c>
      <c r="P1981" s="1575"/>
      <c r="Q1981" s="1575">
        <v>0</v>
      </c>
      <c r="R1981" s="1575"/>
      <c r="S1981" s="1575"/>
      <c r="T1981" s="1575"/>
      <c r="U1981" s="1575"/>
    </row>
    <row r="1982" spans="1:23" ht="19.149999999999999" customHeight="1">
      <c r="A1982" s="1574" t="s">
        <v>1322</v>
      </c>
      <c r="B1982" s="1574"/>
      <c r="C1982" s="1574" t="s">
        <v>2759</v>
      </c>
      <c r="D1982" s="1574"/>
      <c r="E1982" s="1574"/>
      <c r="F1982" s="1574" t="s">
        <v>2418</v>
      </c>
      <c r="G1982" s="1574"/>
      <c r="H1982" s="1574"/>
      <c r="I1982" s="1574"/>
      <c r="J1982" s="1412">
        <v>0</v>
      </c>
      <c r="K1982" s="1412">
        <v>0</v>
      </c>
      <c r="L1982" s="1412">
        <v>36630.99</v>
      </c>
      <c r="M1982" s="1575">
        <v>36630.99</v>
      </c>
      <c r="N1982" s="1575"/>
      <c r="O1982" s="1575">
        <v>0</v>
      </c>
      <c r="P1982" s="1575"/>
      <c r="Q1982" s="1575">
        <v>0</v>
      </c>
      <c r="R1982" s="1575"/>
      <c r="S1982" s="1575"/>
      <c r="T1982" s="1575"/>
      <c r="U1982" s="1575"/>
    </row>
    <row r="1983" spans="1:23" ht="19.149999999999999" customHeight="1">
      <c r="A1983" s="1574" t="s">
        <v>1322</v>
      </c>
      <c r="B1983" s="1574"/>
      <c r="C1983" s="1574" t="s">
        <v>5854</v>
      </c>
      <c r="D1983" s="1574"/>
      <c r="E1983" s="1574"/>
      <c r="F1983" s="1574" t="s">
        <v>2474</v>
      </c>
      <c r="G1983" s="1574"/>
      <c r="H1983" s="1574"/>
      <c r="I1983" s="1574"/>
      <c r="J1983" s="1412">
        <v>0</v>
      </c>
      <c r="K1983" s="1412">
        <v>0</v>
      </c>
      <c r="L1983" s="1412">
        <v>4793.03</v>
      </c>
      <c r="M1983" s="1575">
        <v>4793.03</v>
      </c>
      <c r="N1983" s="1575"/>
      <c r="O1983" s="1575">
        <v>0</v>
      </c>
      <c r="P1983" s="1575"/>
      <c r="Q1983" s="1575">
        <v>0</v>
      </c>
      <c r="R1983" s="1575"/>
      <c r="S1983" s="1575"/>
      <c r="T1983" s="1575"/>
      <c r="U1983" s="1575"/>
    </row>
    <row r="1984" spans="1:23" ht="19.149999999999999" customHeight="1">
      <c r="A1984" s="1574" t="s">
        <v>1322</v>
      </c>
      <c r="B1984" s="1574"/>
      <c r="C1984" s="1574" t="s">
        <v>3340</v>
      </c>
      <c r="D1984" s="1574"/>
      <c r="E1984" s="1574"/>
      <c r="F1984" s="1574" t="s">
        <v>2476</v>
      </c>
      <c r="G1984" s="1574"/>
      <c r="H1984" s="1574"/>
      <c r="I1984" s="1574"/>
      <c r="J1984" s="1412">
        <v>0</v>
      </c>
      <c r="K1984" s="1412">
        <v>0</v>
      </c>
      <c r="L1984" s="1412">
        <v>74199.78</v>
      </c>
      <c r="M1984" s="1575">
        <v>74199.78</v>
      </c>
      <c r="N1984" s="1575"/>
      <c r="O1984" s="1575">
        <v>0</v>
      </c>
      <c r="P1984" s="1575"/>
      <c r="Q1984" s="1575">
        <v>0</v>
      </c>
      <c r="R1984" s="1575"/>
      <c r="S1984" s="1575"/>
      <c r="T1984" s="1575"/>
      <c r="U1984" s="1575"/>
    </row>
    <row r="1985" spans="1:21" ht="19.149999999999999" customHeight="1">
      <c r="A1985" s="1574" t="s">
        <v>1322</v>
      </c>
      <c r="B1985" s="1574"/>
      <c r="C1985" s="1574" t="s">
        <v>4026</v>
      </c>
      <c r="D1985" s="1574"/>
      <c r="E1985" s="1574"/>
      <c r="F1985" s="1574" t="s">
        <v>2478</v>
      </c>
      <c r="G1985" s="1574"/>
      <c r="H1985" s="1574"/>
      <c r="I1985" s="1574"/>
      <c r="J1985" s="1412">
        <v>0</v>
      </c>
      <c r="K1985" s="1412">
        <v>0</v>
      </c>
      <c r="L1985" s="1412">
        <v>0</v>
      </c>
      <c r="M1985" s="1575">
        <v>0</v>
      </c>
      <c r="N1985" s="1575"/>
      <c r="O1985" s="1575">
        <v>0</v>
      </c>
      <c r="P1985" s="1575"/>
      <c r="Q1985" s="1575">
        <v>0</v>
      </c>
      <c r="R1985" s="1575"/>
      <c r="S1985" s="1575"/>
      <c r="T1985" s="1575"/>
      <c r="U1985" s="1575"/>
    </row>
    <row r="1986" spans="1:21" ht="19.149999999999999" customHeight="1">
      <c r="A1986" s="1574" t="s">
        <v>1322</v>
      </c>
      <c r="B1986" s="1574"/>
      <c r="C1986" s="1574" t="s">
        <v>5855</v>
      </c>
      <c r="D1986" s="1574"/>
      <c r="E1986" s="1574"/>
      <c r="F1986" s="1574" t="s">
        <v>2482</v>
      </c>
      <c r="G1986" s="1574"/>
      <c r="H1986" s="1574"/>
      <c r="I1986" s="1574"/>
      <c r="J1986" s="1412">
        <v>0</v>
      </c>
      <c r="K1986" s="1412">
        <v>0</v>
      </c>
      <c r="L1986" s="1412">
        <v>3150</v>
      </c>
      <c r="M1986" s="1575">
        <v>3150</v>
      </c>
      <c r="N1986" s="1575"/>
      <c r="O1986" s="1575">
        <v>0</v>
      </c>
      <c r="P1986" s="1575"/>
      <c r="Q1986" s="1575">
        <v>0</v>
      </c>
      <c r="R1986" s="1575"/>
      <c r="S1986" s="1575"/>
      <c r="T1986" s="1575"/>
      <c r="U1986" s="1575"/>
    </row>
    <row r="1987" spans="1:21" ht="19.149999999999999" customHeight="1">
      <c r="A1987" s="1574" t="s">
        <v>1322</v>
      </c>
      <c r="B1987" s="1574"/>
      <c r="C1987" s="1574" t="s">
        <v>6204</v>
      </c>
      <c r="D1987" s="1574"/>
      <c r="E1987" s="1574"/>
      <c r="F1987" s="1574" t="s">
        <v>2484</v>
      </c>
      <c r="G1987" s="1574"/>
      <c r="H1987" s="1574"/>
      <c r="I1987" s="1574"/>
      <c r="J1987" s="1412">
        <v>0</v>
      </c>
      <c r="K1987" s="1412">
        <v>0</v>
      </c>
      <c r="L1987" s="1412">
        <v>0</v>
      </c>
      <c r="M1987" s="1575">
        <v>0</v>
      </c>
      <c r="N1987" s="1575"/>
      <c r="O1987" s="1575">
        <v>0</v>
      </c>
      <c r="P1987" s="1575"/>
      <c r="Q1987" s="1575">
        <v>0</v>
      </c>
      <c r="R1987" s="1575"/>
      <c r="S1987" s="1575"/>
      <c r="T1987" s="1575"/>
      <c r="U1987" s="1575"/>
    </row>
    <row r="1988" spans="1:21" ht="19.149999999999999" customHeight="1">
      <c r="A1988" s="1574" t="s">
        <v>1322</v>
      </c>
      <c r="B1988" s="1574"/>
      <c r="C1988" s="1574" t="s">
        <v>2760</v>
      </c>
      <c r="D1988" s="1574"/>
      <c r="E1988" s="1574"/>
      <c r="F1988" s="1574" t="s">
        <v>2486</v>
      </c>
      <c r="G1988" s="1574"/>
      <c r="H1988" s="1574"/>
      <c r="I1988" s="1574"/>
      <c r="J1988" s="1412">
        <v>0</v>
      </c>
      <c r="K1988" s="1412">
        <v>0</v>
      </c>
      <c r="L1988" s="1412">
        <v>20972.55</v>
      </c>
      <c r="M1988" s="1575">
        <v>20972.55</v>
      </c>
      <c r="N1988" s="1575"/>
      <c r="O1988" s="1575">
        <v>0</v>
      </c>
      <c r="P1988" s="1575"/>
      <c r="Q1988" s="1575">
        <v>0</v>
      </c>
      <c r="R1988" s="1575"/>
      <c r="S1988" s="1575"/>
      <c r="T1988" s="1575"/>
      <c r="U1988" s="1575"/>
    </row>
    <row r="1989" spans="1:21" ht="19.149999999999999" customHeight="1">
      <c r="A1989" s="1574" t="s">
        <v>1322</v>
      </c>
      <c r="B1989" s="1574"/>
      <c r="C1989" s="1574" t="s">
        <v>2761</v>
      </c>
      <c r="D1989" s="1574"/>
      <c r="E1989" s="1574"/>
      <c r="F1989" s="1574" t="s">
        <v>2488</v>
      </c>
      <c r="G1989" s="1574"/>
      <c r="H1989" s="1574"/>
      <c r="I1989" s="1574"/>
      <c r="J1989" s="1412">
        <v>0</v>
      </c>
      <c r="K1989" s="1412">
        <v>0</v>
      </c>
      <c r="L1989" s="1412">
        <v>689.66</v>
      </c>
      <c r="M1989" s="1575">
        <v>689.66</v>
      </c>
      <c r="N1989" s="1575"/>
      <c r="O1989" s="1575">
        <v>0</v>
      </c>
      <c r="P1989" s="1575"/>
      <c r="Q1989" s="1575">
        <v>0</v>
      </c>
      <c r="R1989" s="1575"/>
      <c r="S1989" s="1575"/>
      <c r="T1989" s="1575"/>
      <c r="U1989" s="1575"/>
    </row>
    <row r="1990" spans="1:21" ht="19.149999999999999" customHeight="1">
      <c r="A1990" s="1574" t="s">
        <v>1322</v>
      </c>
      <c r="B1990" s="1574"/>
      <c r="C1990" s="1574" t="s">
        <v>2762</v>
      </c>
      <c r="D1990" s="1574"/>
      <c r="E1990" s="1574"/>
      <c r="F1990" s="1574" t="s">
        <v>2490</v>
      </c>
      <c r="G1990" s="1574"/>
      <c r="H1990" s="1574"/>
      <c r="I1990" s="1574"/>
      <c r="J1990" s="1412">
        <v>0</v>
      </c>
      <c r="K1990" s="1412">
        <v>0</v>
      </c>
      <c r="L1990" s="1412">
        <v>2925</v>
      </c>
      <c r="M1990" s="1575">
        <v>2925</v>
      </c>
      <c r="N1990" s="1575"/>
      <c r="O1990" s="1575">
        <v>0</v>
      </c>
      <c r="P1990" s="1575"/>
      <c r="Q1990" s="1575">
        <v>0</v>
      </c>
      <c r="R1990" s="1575"/>
      <c r="S1990" s="1575"/>
      <c r="T1990" s="1575"/>
      <c r="U1990" s="1575"/>
    </row>
    <row r="1991" spans="1:21" ht="19.149999999999999" customHeight="1">
      <c r="A1991" s="1574" t="s">
        <v>1322</v>
      </c>
      <c r="B1991" s="1574"/>
      <c r="C1991" s="1574" t="s">
        <v>2763</v>
      </c>
      <c r="D1991" s="1574"/>
      <c r="E1991" s="1574"/>
      <c r="F1991" s="1574" t="s">
        <v>2421</v>
      </c>
      <c r="G1991" s="1574"/>
      <c r="H1991" s="1574"/>
      <c r="I1991" s="1574"/>
      <c r="J1991" s="1412">
        <v>0</v>
      </c>
      <c r="K1991" s="1412">
        <v>0</v>
      </c>
      <c r="L1991" s="1412">
        <v>7768.56</v>
      </c>
      <c r="M1991" s="1575">
        <v>7768.56</v>
      </c>
      <c r="N1991" s="1575"/>
      <c r="O1991" s="1575">
        <v>0</v>
      </c>
      <c r="P1991" s="1575"/>
      <c r="Q1991" s="1575">
        <v>0</v>
      </c>
      <c r="R1991" s="1575"/>
      <c r="S1991" s="1575"/>
      <c r="T1991" s="1575"/>
      <c r="U1991" s="1575"/>
    </row>
    <row r="1992" spans="1:21" ht="19.149999999999999" customHeight="1">
      <c r="A1992" s="1574" t="s">
        <v>1322</v>
      </c>
      <c r="B1992" s="1574"/>
      <c r="C1992" s="1574" t="s">
        <v>5988</v>
      </c>
      <c r="D1992" s="1574"/>
      <c r="E1992" s="1574"/>
      <c r="F1992" s="1574" t="s">
        <v>2493</v>
      </c>
      <c r="G1992" s="1574"/>
      <c r="H1992" s="1574"/>
      <c r="I1992" s="1574"/>
      <c r="J1992" s="1412">
        <v>0</v>
      </c>
      <c r="K1992" s="1412">
        <v>0</v>
      </c>
      <c r="L1992" s="1412">
        <v>2213.6999999999998</v>
      </c>
      <c r="M1992" s="1575">
        <v>2213.6999999999998</v>
      </c>
      <c r="N1992" s="1575"/>
      <c r="O1992" s="1575">
        <v>0</v>
      </c>
      <c r="P1992" s="1575"/>
      <c r="Q1992" s="1575">
        <v>0</v>
      </c>
      <c r="R1992" s="1575"/>
      <c r="S1992" s="1575"/>
      <c r="T1992" s="1575"/>
      <c r="U1992" s="1575"/>
    </row>
    <row r="1993" spans="1:21" ht="19.149999999999999" customHeight="1">
      <c r="A1993" s="1574" t="s">
        <v>1322</v>
      </c>
      <c r="B1993" s="1574"/>
      <c r="C1993" s="1574" t="s">
        <v>3341</v>
      </c>
      <c r="D1993" s="1574"/>
      <c r="E1993" s="1574"/>
      <c r="F1993" s="1574" t="s">
        <v>2423</v>
      </c>
      <c r="G1993" s="1574"/>
      <c r="H1993" s="1574"/>
      <c r="I1993" s="1574"/>
      <c r="J1993" s="1412">
        <v>0</v>
      </c>
      <c r="K1993" s="1412">
        <v>0</v>
      </c>
      <c r="L1993" s="1412">
        <v>3850.98</v>
      </c>
      <c r="M1993" s="1575">
        <v>3850.98</v>
      </c>
      <c r="N1993" s="1575"/>
      <c r="O1993" s="1575">
        <v>0</v>
      </c>
      <c r="P1993" s="1575"/>
      <c r="Q1993" s="1575">
        <v>0</v>
      </c>
      <c r="R1993" s="1575"/>
      <c r="S1993" s="1575"/>
      <c r="T1993" s="1575"/>
      <c r="U1993" s="1575"/>
    </row>
    <row r="1994" spans="1:21" ht="19.149999999999999" customHeight="1">
      <c r="A1994" s="1574" t="s">
        <v>1322</v>
      </c>
      <c r="B1994" s="1574"/>
      <c r="C1994" s="1574" t="s">
        <v>6475</v>
      </c>
      <c r="D1994" s="1574"/>
      <c r="E1994" s="1574"/>
      <c r="F1994" s="1574" t="s">
        <v>2496</v>
      </c>
      <c r="G1994" s="1574"/>
      <c r="H1994" s="1574"/>
      <c r="I1994" s="1574"/>
      <c r="J1994" s="1412">
        <v>0</v>
      </c>
      <c r="K1994" s="1412">
        <v>0</v>
      </c>
      <c r="L1994" s="1412">
        <v>0</v>
      </c>
      <c r="M1994" s="1575">
        <v>0</v>
      </c>
      <c r="N1994" s="1575"/>
      <c r="O1994" s="1575">
        <v>0</v>
      </c>
      <c r="P1994" s="1575"/>
      <c r="Q1994" s="1575">
        <v>0</v>
      </c>
      <c r="R1994" s="1575"/>
      <c r="S1994" s="1575"/>
      <c r="T1994" s="1575"/>
      <c r="U1994" s="1575"/>
    </row>
    <row r="1995" spans="1:21" ht="19.149999999999999" customHeight="1">
      <c r="A1995" s="1574" t="s">
        <v>1322</v>
      </c>
      <c r="B1995" s="1574"/>
      <c r="C1995" s="1574" t="s">
        <v>5856</v>
      </c>
      <c r="D1995" s="1574"/>
      <c r="E1995" s="1574"/>
      <c r="F1995" s="1574" t="s">
        <v>2498</v>
      </c>
      <c r="G1995" s="1574"/>
      <c r="H1995" s="1574"/>
      <c r="I1995" s="1574"/>
      <c r="J1995" s="1412">
        <v>0</v>
      </c>
      <c r="K1995" s="1412">
        <v>0</v>
      </c>
      <c r="L1995" s="1412">
        <v>250</v>
      </c>
      <c r="M1995" s="1575">
        <v>250</v>
      </c>
      <c r="N1995" s="1575"/>
      <c r="O1995" s="1575">
        <v>0</v>
      </c>
      <c r="P1995" s="1575"/>
      <c r="Q1995" s="1575">
        <v>0</v>
      </c>
      <c r="R1995" s="1575"/>
      <c r="S1995" s="1575"/>
      <c r="T1995" s="1575"/>
      <c r="U1995" s="1575"/>
    </row>
    <row r="1996" spans="1:21" ht="19.149999999999999" customHeight="1">
      <c r="A1996" s="1574" t="s">
        <v>1322</v>
      </c>
      <c r="B1996" s="1574"/>
      <c r="C1996" s="1574" t="s">
        <v>2765</v>
      </c>
      <c r="D1996" s="1574"/>
      <c r="E1996" s="1574"/>
      <c r="F1996" s="1574" t="s">
        <v>2500</v>
      </c>
      <c r="G1996" s="1574"/>
      <c r="H1996" s="1574"/>
      <c r="I1996" s="1574"/>
      <c r="J1996" s="1412">
        <v>0</v>
      </c>
      <c r="K1996" s="1412">
        <v>0</v>
      </c>
      <c r="L1996" s="1412">
        <v>16731.84</v>
      </c>
      <c r="M1996" s="1575">
        <v>16731.84</v>
      </c>
      <c r="N1996" s="1575"/>
      <c r="O1996" s="1575">
        <v>0</v>
      </c>
      <c r="P1996" s="1575"/>
      <c r="Q1996" s="1575">
        <v>0</v>
      </c>
      <c r="R1996" s="1575"/>
      <c r="S1996" s="1575"/>
      <c r="T1996" s="1575"/>
      <c r="U1996" s="1575"/>
    </row>
    <row r="1997" spans="1:21" ht="19.149999999999999" customHeight="1">
      <c r="A1997" s="1574" t="s">
        <v>1322</v>
      </c>
      <c r="B1997" s="1574"/>
      <c r="C1997" s="1574" t="s">
        <v>2766</v>
      </c>
      <c r="D1997" s="1574"/>
      <c r="E1997" s="1574"/>
      <c r="F1997" s="1574" t="s">
        <v>2502</v>
      </c>
      <c r="G1997" s="1574"/>
      <c r="H1997" s="1574"/>
      <c r="I1997" s="1574"/>
      <c r="J1997" s="1412">
        <v>0</v>
      </c>
      <c r="K1997" s="1412">
        <v>0</v>
      </c>
      <c r="L1997" s="1412">
        <v>154247.09</v>
      </c>
      <c r="M1997" s="1575">
        <v>154247.09</v>
      </c>
      <c r="N1997" s="1575"/>
      <c r="O1997" s="1575">
        <v>0</v>
      </c>
      <c r="P1997" s="1575"/>
      <c r="Q1997" s="1575">
        <v>0</v>
      </c>
      <c r="R1997" s="1575"/>
      <c r="S1997" s="1575"/>
      <c r="T1997" s="1575"/>
      <c r="U1997" s="1575"/>
    </row>
    <row r="1998" spans="1:21" ht="19.149999999999999" customHeight="1">
      <c r="A1998" s="1574" t="s">
        <v>1322</v>
      </c>
      <c r="B1998" s="1574"/>
      <c r="C1998" s="1574" t="s">
        <v>2767</v>
      </c>
      <c r="D1998" s="1574"/>
      <c r="E1998" s="1574"/>
      <c r="F1998" s="1574" t="s">
        <v>2509</v>
      </c>
      <c r="G1998" s="1574"/>
      <c r="H1998" s="1574"/>
      <c r="I1998" s="1574"/>
      <c r="J1998" s="1412">
        <v>0</v>
      </c>
      <c r="K1998" s="1412">
        <v>0</v>
      </c>
      <c r="L1998" s="1412">
        <v>10510.74</v>
      </c>
      <c r="M1998" s="1575">
        <v>10510.74</v>
      </c>
      <c r="N1998" s="1575"/>
      <c r="O1998" s="1575">
        <v>0</v>
      </c>
      <c r="P1998" s="1575"/>
      <c r="Q1998" s="1575">
        <v>0</v>
      </c>
      <c r="R1998" s="1575"/>
      <c r="S1998" s="1575"/>
      <c r="T1998" s="1575"/>
      <c r="U1998" s="1575"/>
    </row>
    <row r="1999" spans="1:21" ht="19.149999999999999" customHeight="1">
      <c r="A1999" s="1574" t="s">
        <v>1322</v>
      </c>
      <c r="B1999" s="1574"/>
      <c r="C1999" s="1574" t="s">
        <v>2768</v>
      </c>
      <c r="D1999" s="1574"/>
      <c r="E1999" s="1574"/>
      <c r="F1999" s="1574" t="s">
        <v>2511</v>
      </c>
      <c r="G1999" s="1574"/>
      <c r="H1999" s="1574"/>
      <c r="I1999" s="1574"/>
      <c r="J1999" s="1412">
        <v>0</v>
      </c>
      <c r="K1999" s="1412">
        <v>0</v>
      </c>
      <c r="L1999" s="1412">
        <v>133763.01</v>
      </c>
      <c r="M1999" s="1575">
        <v>133763.01</v>
      </c>
      <c r="N1999" s="1575"/>
      <c r="O1999" s="1575">
        <v>0</v>
      </c>
      <c r="P1999" s="1575"/>
      <c r="Q1999" s="1575">
        <v>0</v>
      </c>
      <c r="R1999" s="1575"/>
      <c r="S1999" s="1575"/>
      <c r="T1999" s="1575"/>
      <c r="U1999" s="1575"/>
    </row>
    <row r="2000" spans="1:21" ht="19.149999999999999" customHeight="1">
      <c r="A2000" s="1574" t="s">
        <v>1322</v>
      </c>
      <c r="B2000" s="1574"/>
      <c r="C2000" s="1574" t="s">
        <v>2969</v>
      </c>
      <c r="D2000" s="1574"/>
      <c r="E2000" s="1574"/>
      <c r="F2000" s="1574" t="s">
        <v>2513</v>
      </c>
      <c r="G2000" s="1574"/>
      <c r="H2000" s="1574"/>
      <c r="I2000" s="1574"/>
      <c r="J2000" s="1412">
        <v>0</v>
      </c>
      <c r="K2000" s="1412">
        <v>0</v>
      </c>
      <c r="L2000" s="1412">
        <v>139793.91</v>
      </c>
      <c r="M2000" s="1575">
        <v>139793.91</v>
      </c>
      <c r="N2000" s="1575"/>
      <c r="O2000" s="1575">
        <v>0</v>
      </c>
      <c r="P2000" s="1575"/>
      <c r="Q2000" s="1575">
        <v>0</v>
      </c>
      <c r="R2000" s="1575"/>
      <c r="S2000" s="1575"/>
      <c r="T2000" s="1575"/>
      <c r="U2000" s="1575"/>
    </row>
    <row r="2001" spans="1:23" ht="19.149999999999999" customHeight="1">
      <c r="A2001" s="1574" t="s">
        <v>1322</v>
      </c>
      <c r="B2001" s="1574"/>
      <c r="C2001" s="1574" t="s">
        <v>2769</v>
      </c>
      <c r="D2001" s="1574"/>
      <c r="E2001" s="1574"/>
      <c r="F2001" s="1574" t="s">
        <v>2387</v>
      </c>
      <c r="G2001" s="1574"/>
      <c r="H2001" s="1574"/>
      <c r="I2001" s="1574"/>
      <c r="J2001" s="1412">
        <v>0</v>
      </c>
      <c r="K2001" s="1412">
        <v>0</v>
      </c>
      <c r="L2001" s="1412">
        <v>145905.60000000001</v>
      </c>
      <c r="M2001" s="1575">
        <v>145905.60000000001</v>
      </c>
      <c r="N2001" s="1575"/>
      <c r="O2001" s="1575">
        <v>0</v>
      </c>
      <c r="P2001" s="1575"/>
      <c r="Q2001" s="1575">
        <v>0</v>
      </c>
      <c r="R2001" s="1575"/>
      <c r="S2001" s="1575"/>
      <c r="T2001" s="1575"/>
      <c r="U2001" s="1575"/>
    </row>
    <row r="2002" spans="1:23" ht="19.149999999999999" customHeight="1">
      <c r="A2002" s="1574" t="s">
        <v>1322</v>
      </c>
      <c r="B2002" s="1574"/>
      <c r="C2002" s="1574" t="s">
        <v>6571</v>
      </c>
      <c r="D2002" s="1574"/>
      <c r="E2002" s="1574"/>
      <c r="F2002" s="1574" t="s">
        <v>2390</v>
      </c>
      <c r="G2002" s="1574"/>
      <c r="H2002" s="1574"/>
      <c r="I2002" s="1574"/>
      <c r="J2002" s="1412">
        <v>0</v>
      </c>
      <c r="K2002" s="1412">
        <v>0</v>
      </c>
      <c r="L2002" s="1412">
        <v>222414.33</v>
      </c>
      <c r="M2002" s="1575">
        <v>222414.33</v>
      </c>
      <c r="N2002" s="1575"/>
      <c r="O2002" s="1575">
        <v>0</v>
      </c>
      <c r="P2002" s="1575"/>
      <c r="Q2002" s="1575">
        <v>0</v>
      </c>
      <c r="R2002" s="1575"/>
      <c r="S2002" s="1575"/>
      <c r="T2002" s="1575"/>
      <c r="U2002" s="1575"/>
    </row>
    <row r="2003" spans="1:23" ht="19.149999999999999" customHeight="1">
      <c r="A2003" s="1574" t="s">
        <v>1322</v>
      </c>
      <c r="B2003" s="1574"/>
      <c r="C2003" s="1574" t="s">
        <v>6572</v>
      </c>
      <c r="D2003" s="1574"/>
      <c r="E2003" s="1574"/>
      <c r="F2003" s="1574" t="s">
        <v>2392</v>
      </c>
      <c r="G2003" s="1574"/>
      <c r="H2003" s="1574"/>
      <c r="I2003" s="1574"/>
      <c r="J2003" s="1412">
        <v>0</v>
      </c>
      <c r="K2003" s="1412">
        <v>0</v>
      </c>
      <c r="L2003" s="1412">
        <v>11478.46</v>
      </c>
      <c r="M2003" s="1575">
        <v>11478.46</v>
      </c>
      <c r="N2003" s="1575"/>
      <c r="O2003" s="1575">
        <v>0</v>
      </c>
      <c r="P2003" s="1575"/>
      <c r="Q2003" s="1575">
        <v>0</v>
      </c>
      <c r="R2003" s="1575"/>
      <c r="S2003" s="1575"/>
      <c r="T2003" s="1575"/>
      <c r="U2003" s="1575"/>
    </row>
    <row r="2004" spans="1:23" ht="6.95" customHeight="1"/>
    <row r="2005" spans="1:23" ht="14.1" customHeight="1">
      <c r="S2005" s="1573" t="s">
        <v>6575</v>
      </c>
      <c r="T2005" s="1573"/>
      <c r="U2005" s="1573"/>
      <c r="V2005" s="1573"/>
      <c r="W2005" s="1573"/>
    </row>
    <row r="2006" spans="1:23" ht="7.15" customHeight="1">
      <c r="C2006" s="1586" t="s">
        <v>2987</v>
      </c>
      <c r="D2006" s="1586"/>
      <c r="E2006" s="1586"/>
      <c r="F2006" s="1586"/>
      <c r="G2006" s="1586"/>
      <c r="H2006" s="1586"/>
      <c r="I2006" s="1586"/>
      <c r="J2006" s="1586"/>
      <c r="K2006" s="1586"/>
      <c r="L2006" s="1586"/>
      <c r="M2006" s="1586"/>
      <c r="N2006" s="1586"/>
      <c r="O2006" s="1586"/>
      <c r="P2006" s="1586"/>
      <c r="Q2006" s="1586"/>
      <c r="R2006" s="1586"/>
      <c r="S2006" s="1586"/>
      <c r="T2006" s="1586"/>
    </row>
    <row r="2007" spans="1:23" ht="9.6" customHeight="1">
      <c r="A2007" s="1587"/>
      <c r="B2007" s="1587"/>
      <c r="C2007" s="1587"/>
      <c r="D2007" s="1587"/>
      <c r="E2007" s="1587"/>
      <c r="F2007" s="1587"/>
      <c r="G2007" s="1586"/>
      <c r="H2007" s="1586"/>
      <c r="I2007" s="1586"/>
      <c r="J2007" s="1586"/>
      <c r="K2007" s="1586"/>
      <c r="L2007" s="1586"/>
      <c r="M2007" s="1586"/>
      <c r="N2007" s="1586"/>
      <c r="O2007" s="1586"/>
      <c r="P2007" s="1586"/>
      <c r="Q2007" s="1586"/>
      <c r="R2007" s="1586"/>
      <c r="S2007" s="1586"/>
      <c r="T2007" s="1586"/>
    </row>
    <row r="2008" spans="1:23" ht="13.35" customHeight="1">
      <c r="A2008" s="1587"/>
      <c r="B2008" s="1587"/>
      <c r="C2008" s="1587"/>
      <c r="D2008" s="1587"/>
      <c r="E2008" s="1587"/>
      <c r="F2008" s="1587"/>
      <c r="G2008" s="1588" t="s">
        <v>79</v>
      </c>
      <c r="H2008" s="1588"/>
      <c r="I2008" s="1588"/>
      <c r="J2008" s="1588"/>
      <c r="K2008" s="1588"/>
      <c r="L2008" s="1588"/>
      <c r="M2008" s="1588"/>
      <c r="N2008" s="1588"/>
      <c r="O2008" s="1588"/>
      <c r="P2008" s="1588"/>
      <c r="Q2008" s="1588"/>
      <c r="R2008" s="1588"/>
    </row>
    <row r="2009" spans="1:23" ht="5.25" customHeight="1">
      <c r="A2009" s="1587"/>
      <c r="B2009" s="1587"/>
      <c r="C2009" s="1587"/>
      <c r="D2009" s="1587"/>
      <c r="E2009" s="1587"/>
      <c r="F2009" s="1587"/>
      <c r="G2009" s="1581" t="s">
        <v>7015</v>
      </c>
      <c r="H2009" s="1581"/>
      <c r="I2009" s="1581"/>
      <c r="J2009" s="1581"/>
      <c r="K2009" s="1581"/>
      <c r="L2009" s="1581"/>
      <c r="M2009" s="1581"/>
      <c r="N2009" s="1581"/>
      <c r="O2009" s="1581"/>
      <c r="P2009" s="1581"/>
      <c r="Q2009" s="1581"/>
    </row>
    <row r="2010" spans="1:23" ht="8.1" customHeight="1">
      <c r="B2010" s="1580" t="s">
        <v>1916</v>
      </c>
      <c r="C2010" s="1580"/>
      <c r="D2010" s="1580"/>
      <c r="E2010" s="1580"/>
      <c r="F2010" s="1580"/>
      <c r="G2010" s="1580"/>
      <c r="H2010" s="1581"/>
      <c r="I2010" s="1581"/>
      <c r="J2010" s="1581"/>
      <c r="K2010" s="1581"/>
      <c r="L2010" s="1581"/>
      <c r="M2010" s="1581"/>
      <c r="N2010" s="1582" t="s">
        <v>5619</v>
      </c>
      <c r="O2010" s="1582"/>
      <c r="P2010" s="1582"/>
      <c r="Q2010" s="1582"/>
      <c r="R2010" s="1582"/>
      <c r="S2010" s="1582"/>
      <c r="T2010" s="1583" t="s">
        <v>7016</v>
      </c>
      <c r="U2010" s="1583"/>
      <c r="V2010" s="1583"/>
      <c r="W2010" s="1583"/>
    </row>
    <row r="2011" spans="1:23" ht="6" customHeight="1">
      <c r="B2011" s="1580"/>
      <c r="C2011" s="1580"/>
      <c r="D2011" s="1580"/>
      <c r="E2011" s="1580"/>
      <c r="F2011" s="1580"/>
      <c r="G2011" s="1580"/>
      <c r="H2011" s="1584" t="s">
        <v>7017</v>
      </c>
      <c r="I2011" s="1584"/>
      <c r="J2011" s="1584"/>
      <c r="K2011" s="1584"/>
      <c r="L2011" s="1584"/>
      <c r="M2011" s="1584"/>
      <c r="N2011" s="1582"/>
      <c r="O2011" s="1582"/>
      <c r="P2011" s="1582"/>
      <c r="Q2011" s="1582"/>
      <c r="R2011" s="1582"/>
      <c r="S2011" s="1582"/>
      <c r="T2011" s="1583"/>
      <c r="U2011" s="1583"/>
      <c r="V2011" s="1583"/>
      <c r="W2011" s="1583"/>
    </row>
    <row r="2012" spans="1:23" ht="7.35" customHeight="1">
      <c r="B2012" s="1580" t="s">
        <v>1994</v>
      </c>
      <c r="C2012" s="1580"/>
      <c r="D2012" s="1580"/>
      <c r="E2012" s="1585"/>
      <c r="F2012" s="1585"/>
      <c r="G2012" s="1585"/>
      <c r="H2012" s="1585"/>
      <c r="I2012" s="1585"/>
      <c r="J2012" s="1585"/>
      <c r="K2012" s="1585"/>
      <c r="L2012" s="1585"/>
      <c r="M2012" s="1585"/>
      <c r="N2012" s="1585"/>
      <c r="O2012" s="1585"/>
      <c r="P2012" s="1585"/>
      <c r="Q2012" s="1585"/>
      <c r="R2012" s="1582"/>
      <c r="S2012" s="1582"/>
      <c r="T2012" s="1582" t="s">
        <v>7018</v>
      </c>
      <c r="U2012" s="1582"/>
    </row>
    <row r="2013" spans="1:23" ht="6.75" customHeight="1">
      <c r="E2013" s="1585"/>
      <c r="F2013" s="1585"/>
      <c r="G2013" s="1585"/>
      <c r="H2013" s="1585"/>
      <c r="I2013" s="1585"/>
      <c r="J2013" s="1585"/>
      <c r="K2013" s="1585"/>
      <c r="L2013" s="1585"/>
      <c r="M2013" s="1585"/>
      <c r="N2013" s="1585"/>
      <c r="O2013" s="1585"/>
      <c r="P2013" s="1585"/>
      <c r="Q2013" s="1585"/>
      <c r="R2013" s="1582"/>
      <c r="S2013" s="1582"/>
      <c r="T2013" s="1582"/>
      <c r="U2013" s="1582"/>
    </row>
    <row r="2014" spans="1:23" ht="10.9" customHeight="1">
      <c r="A2014" s="1576"/>
      <c r="B2014" s="1576"/>
      <c r="C2014" s="1576"/>
      <c r="D2014" s="1576"/>
      <c r="E2014" s="1576"/>
      <c r="F2014" s="1576"/>
      <c r="G2014" s="1576"/>
      <c r="H2014" s="1576"/>
      <c r="I2014" s="1576"/>
      <c r="J2014" s="1577" t="s">
        <v>1314</v>
      </c>
      <c r="K2014" s="1577"/>
      <c r="L2014" s="1577" t="s">
        <v>1315</v>
      </c>
      <c r="M2014" s="1577"/>
      <c r="N2014" s="1577"/>
      <c r="O2014" s="1577" t="s">
        <v>1316</v>
      </c>
      <c r="P2014" s="1577"/>
      <c r="Q2014" s="1577"/>
      <c r="R2014" s="1577"/>
      <c r="S2014" s="1577"/>
      <c r="T2014" s="1577"/>
      <c r="U2014" s="1577"/>
    </row>
    <row r="2015" spans="1:23" ht="14.1" customHeight="1">
      <c r="A2015" s="1578" t="s">
        <v>1317</v>
      </c>
      <c r="B2015" s="1578"/>
      <c r="C2015" s="1578" t="s">
        <v>1318</v>
      </c>
      <c r="D2015" s="1578"/>
      <c r="E2015" s="1578"/>
      <c r="F2015" s="1578" t="s">
        <v>1319</v>
      </c>
      <c r="G2015" s="1578"/>
      <c r="H2015" s="1578"/>
      <c r="I2015" s="1578"/>
      <c r="J2015" s="1413" t="s">
        <v>1320</v>
      </c>
      <c r="K2015" s="1413" t="s">
        <v>1321</v>
      </c>
      <c r="L2015" s="1413" t="s">
        <v>1320</v>
      </c>
      <c r="M2015" s="1579" t="s">
        <v>1321</v>
      </c>
      <c r="N2015" s="1579"/>
      <c r="O2015" s="1579" t="s">
        <v>1320</v>
      </c>
      <c r="P2015" s="1579"/>
      <c r="Q2015" s="1579" t="s">
        <v>1321</v>
      </c>
      <c r="R2015" s="1579"/>
      <c r="S2015" s="1579"/>
      <c r="T2015" s="1579"/>
      <c r="U2015" s="1579"/>
    </row>
    <row r="2016" spans="1:23" ht="22.5" customHeight="1">
      <c r="A2016" s="1574" t="s">
        <v>1322</v>
      </c>
      <c r="B2016" s="1574"/>
      <c r="C2016" s="1574" t="s">
        <v>2770</v>
      </c>
      <c r="D2016" s="1574"/>
      <c r="E2016" s="1574"/>
      <c r="F2016" s="1574" t="s">
        <v>2396</v>
      </c>
      <c r="G2016" s="1574"/>
      <c r="H2016" s="1574"/>
      <c r="I2016" s="1574"/>
      <c r="J2016" s="1412">
        <v>0</v>
      </c>
      <c r="K2016" s="1412">
        <v>0</v>
      </c>
      <c r="L2016" s="1412">
        <v>37205.94</v>
      </c>
      <c r="M2016" s="1575">
        <v>37205.94</v>
      </c>
      <c r="N2016" s="1575"/>
      <c r="O2016" s="1575">
        <v>0</v>
      </c>
      <c r="P2016" s="1575"/>
      <c r="Q2016" s="1575">
        <v>0</v>
      </c>
      <c r="R2016" s="1575"/>
      <c r="S2016" s="1575"/>
      <c r="T2016" s="1575"/>
      <c r="U2016" s="1575"/>
    </row>
    <row r="2017" spans="1:21" ht="19.149999999999999" customHeight="1">
      <c r="A2017" s="1574" t="s">
        <v>1322</v>
      </c>
      <c r="B2017" s="1574"/>
      <c r="C2017" s="1574" t="s">
        <v>2771</v>
      </c>
      <c r="D2017" s="1574"/>
      <c r="E2017" s="1574"/>
      <c r="F2017" s="1574" t="s">
        <v>2398</v>
      </c>
      <c r="G2017" s="1574"/>
      <c r="H2017" s="1574"/>
      <c r="I2017" s="1574"/>
      <c r="J2017" s="1412">
        <v>0</v>
      </c>
      <c r="K2017" s="1412">
        <v>0</v>
      </c>
      <c r="L2017" s="1412">
        <v>475.36</v>
      </c>
      <c r="M2017" s="1575">
        <v>475.36</v>
      </c>
      <c r="N2017" s="1575"/>
      <c r="O2017" s="1575">
        <v>0</v>
      </c>
      <c r="P2017" s="1575"/>
      <c r="Q2017" s="1575">
        <v>0</v>
      </c>
      <c r="R2017" s="1575"/>
      <c r="S2017" s="1575"/>
      <c r="T2017" s="1575"/>
      <c r="U2017" s="1575"/>
    </row>
    <row r="2018" spans="1:21" ht="19.149999999999999" customHeight="1">
      <c r="A2018" s="1574" t="s">
        <v>1322</v>
      </c>
      <c r="B2018" s="1574"/>
      <c r="C2018" s="1574" t="s">
        <v>2772</v>
      </c>
      <c r="D2018" s="1574"/>
      <c r="E2018" s="1574"/>
      <c r="F2018" s="1574" t="s">
        <v>2400</v>
      </c>
      <c r="G2018" s="1574"/>
      <c r="H2018" s="1574"/>
      <c r="I2018" s="1574"/>
      <c r="J2018" s="1412">
        <v>0</v>
      </c>
      <c r="K2018" s="1412">
        <v>0</v>
      </c>
      <c r="L2018" s="1412">
        <v>0</v>
      </c>
      <c r="M2018" s="1575">
        <v>0</v>
      </c>
      <c r="N2018" s="1575"/>
      <c r="O2018" s="1575">
        <v>0</v>
      </c>
      <c r="P2018" s="1575"/>
      <c r="Q2018" s="1575">
        <v>0</v>
      </c>
      <c r="R2018" s="1575"/>
      <c r="S2018" s="1575"/>
      <c r="T2018" s="1575"/>
      <c r="U2018" s="1575"/>
    </row>
    <row r="2019" spans="1:21" ht="19.149999999999999" customHeight="1">
      <c r="A2019" s="1574" t="s">
        <v>1322</v>
      </c>
      <c r="B2019" s="1574"/>
      <c r="C2019" s="1574" t="s">
        <v>2773</v>
      </c>
      <c r="D2019" s="1574"/>
      <c r="E2019" s="1574"/>
      <c r="F2019" s="1574" t="s">
        <v>2402</v>
      </c>
      <c r="G2019" s="1574"/>
      <c r="H2019" s="1574"/>
      <c r="I2019" s="1574"/>
      <c r="J2019" s="1412">
        <v>0</v>
      </c>
      <c r="K2019" s="1412">
        <v>0</v>
      </c>
      <c r="L2019" s="1412">
        <v>10171.700000000001</v>
      </c>
      <c r="M2019" s="1575">
        <v>10171.700000000001</v>
      </c>
      <c r="N2019" s="1575"/>
      <c r="O2019" s="1575">
        <v>0</v>
      </c>
      <c r="P2019" s="1575"/>
      <c r="Q2019" s="1575">
        <v>0</v>
      </c>
      <c r="R2019" s="1575"/>
      <c r="S2019" s="1575"/>
      <c r="T2019" s="1575"/>
      <c r="U2019" s="1575"/>
    </row>
    <row r="2020" spans="1:21" ht="19.149999999999999" customHeight="1">
      <c r="A2020" s="1574" t="s">
        <v>1322</v>
      </c>
      <c r="B2020" s="1574"/>
      <c r="C2020" s="1574" t="s">
        <v>2774</v>
      </c>
      <c r="D2020" s="1574"/>
      <c r="E2020" s="1574"/>
      <c r="F2020" s="1574" t="s">
        <v>2419</v>
      </c>
      <c r="G2020" s="1574"/>
      <c r="H2020" s="1574"/>
      <c r="I2020" s="1574"/>
      <c r="J2020" s="1412">
        <v>0</v>
      </c>
      <c r="K2020" s="1412">
        <v>0</v>
      </c>
      <c r="L2020" s="1412">
        <v>981970</v>
      </c>
      <c r="M2020" s="1575">
        <v>981970</v>
      </c>
      <c r="N2020" s="1575"/>
      <c r="O2020" s="1575">
        <v>0</v>
      </c>
      <c r="P2020" s="1575"/>
      <c r="Q2020" s="1575">
        <v>0</v>
      </c>
      <c r="R2020" s="1575"/>
      <c r="S2020" s="1575"/>
      <c r="T2020" s="1575"/>
      <c r="U2020" s="1575"/>
    </row>
    <row r="2021" spans="1:21" ht="19.149999999999999" customHeight="1">
      <c r="A2021" s="1574" t="s">
        <v>1322</v>
      </c>
      <c r="B2021" s="1574"/>
      <c r="C2021" s="1574" t="s">
        <v>2775</v>
      </c>
      <c r="D2021" s="1574"/>
      <c r="E2021" s="1574"/>
      <c r="F2021" s="1574" t="s">
        <v>2524</v>
      </c>
      <c r="G2021" s="1574"/>
      <c r="H2021" s="1574"/>
      <c r="I2021" s="1574"/>
      <c r="J2021" s="1412">
        <v>0</v>
      </c>
      <c r="K2021" s="1412">
        <v>0</v>
      </c>
      <c r="L2021" s="1412">
        <v>12854.08</v>
      </c>
      <c r="M2021" s="1575">
        <v>12854.08</v>
      </c>
      <c r="N2021" s="1575"/>
      <c r="O2021" s="1575">
        <v>0</v>
      </c>
      <c r="P2021" s="1575"/>
      <c r="Q2021" s="1575">
        <v>0</v>
      </c>
      <c r="R2021" s="1575"/>
      <c r="S2021" s="1575"/>
      <c r="T2021" s="1575"/>
      <c r="U2021" s="1575"/>
    </row>
    <row r="2022" spans="1:21" ht="19.149999999999999" customHeight="1">
      <c r="A2022" s="1574" t="s">
        <v>1322</v>
      </c>
      <c r="B2022" s="1574"/>
      <c r="C2022" s="1574" t="s">
        <v>3118</v>
      </c>
      <c r="D2022" s="1574"/>
      <c r="E2022" s="1574"/>
      <c r="F2022" s="1574" t="s">
        <v>2528</v>
      </c>
      <c r="G2022" s="1574"/>
      <c r="H2022" s="1574"/>
      <c r="I2022" s="1574"/>
      <c r="J2022" s="1412">
        <v>0</v>
      </c>
      <c r="K2022" s="1412">
        <v>0</v>
      </c>
      <c r="L2022" s="1412">
        <v>28218</v>
      </c>
      <c r="M2022" s="1575">
        <v>28218</v>
      </c>
      <c r="N2022" s="1575"/>
      <c r="O2022" s="1575">
        <v>0</v>
      </c>
      <c r="P2022" s="1575"/>
      <c r="Q2022" s="1575">
        <v>0</v>
      </c>
      <c r="R2022" s="1575"/>
      <c r="S2022" s="1575"/>
      <c r="T2022" s="1575"/>
      <c r="U2022" s="1575"/>
    </row>
    <row r="2023" spans="1:21" ht="19.149999999999999" customHeight="1">
      <c r="A2023" s="1574" t="s">
        <v>1322</v>
      </c>
      <c r="B2023" s="1574"/>
      <c r="C2023" s="1574" t="s">
        <v>5857</v>
      </c>
      <c r="D2023" s="1574"/>
      <c r="E2023" s="1574"/>
      <c r="F2023" s="1574" t="s">
        <v>2530</v>
      </c>
      <c r="G2023" s="1574"/>
      <c r="H2023" s="1574"/>
      <c r="I2023" s="1574"/>
      <c r="J2023" s="1412">
        <v>0</v>
      </c>
      <c r="K2023" s="1412">
        <v>0</v>
      </c>
      <c r="L2023" s="1412">
        <v>0</v>
      </c>
      <c r="M2023" s="1575">
        <v>0</v>
      </c>
      <c r="N2023" s="1575"/>
      <c r="O2023" s="1575">
        <v>0</v>
      </c>
      <c r="P2023" s="1575"/>
      <c r="Q2023" s="1575">
        <v>0</v>
      </c>
      <c r="R2023" s="1575"/>
      <c r="S2023" s="1575"/>
      <c r="T2023" s="1575"/>
      <c r="U2023" s="1575"/>
    </row>
    <row r="2024" spans="1:21" ht="10.9" customHeight="1">
      <c r="A2024" s="1574" t="s">
        <v>1322</v>
      </c>
      <c r="B2024" s="1574"/>
      <c r="C2024" s="1574" t="s">
        <v>1699</v>
      </c>
      <c r="D2024" s="1574"/>
      <c r="E2024" s="1574"/>
      <c r="F2024" s="1574" t="s">
        <v>1700</v>
      </c>
      <c r="G2024" s="1574"/>
      <c r="H2024" s="1574"/>
      <c r="I2024" s="1574"/>
      <c r="J2024" s="1412">
        <v>43711723.280000001</v>
      </c>
      <c r="K2024" s="1412">
        <v>0</v>
      </c>
      <c r="L2024" s="1412">
        <v>8472251.1699999999</v>
      </c>
      <c r="M2024" s="1575">
        <v>0</v>
      </c>
      <c r="N2024" s="1575"/>
      <c r="O2024" s="1575">
        <v>52183974.450000003</v>
      </c>
      <c r="P2024" s="1575"/>
      <c r="Q2024" s="1575">
        <v>0</v>
      </c>
      <c r="R2024" s="1575"/>
      <c r="S2024" s="1575"/>
      <c r="T2024" s="1575"/>
      <c r="U2024" s="1575"/>
    </row>
    <row r="2025" spans="1:21" ht="19.149999999999999" customHeight="1">
      <c r="A2025" s="1574" t="s">
        <v>1322</v>
      </c>
      <c r="B2025" s="1574"/>
      <c r="C2025" s="1574" t="s">
        <v>2776</v>
      </c>
      <c r="D2025" s="1574"/>
      <c r="E2025" s="1574"/>
      <c r="F2025" s="1574" t="s">
        <v>2387</v>
      </c>
      <c r="G2025" s="1574"/>
      <c r="H2025" s="1574"/>
      <c r="I2025" s="1574"/>
      <c r="J2025" s="1412">
        <v>493477.11</v>
      </c>
      <c r="K2025" s="1412">
        <v>0</v>
      </c>
      <c r="L2025" s="1412">
        <v>46160.4</v>
      </c>
      <c r="M2025" s="1575">
        <v>0</v>
      </c>
      <c r="N2025" s="1575"/>
      <c r="O2025" s="1575">
        <v>539637.51</v>
      </c>
      <c r="P2025" s="1575"/>
      <c r="Q2025" s="1575">
        <v>0</v>
      </c>
      <c r="R2025" s="1575"/>
      <c r="S2025" s="1575"/>
      <c r="T2025" s="1575"/>
      <c r="U2025" s="1575"/>
    </row>
    <row r="2026" spans="1:21" ht="19.149999999999999" customHeight="1">
      <c r="A2026" s="1574" t="s">
        <v>1322</v>
      </c>
      <c r="B2026" s="1574"/>
      <c r="C2026" s="1574" t="s">
        <v>7071</v>
      </c>
      <c r="D2026" s="1574"/>
      <c r="E2026" s="1574"/>
      <c r="F2026" s="1574" t="s">
        <v>2390</v>
      </c>
      <c r="G2026" s="1574"/>
      <c r="H2026" s="1574"/>
      <c r="I2026" s="1574"/>
      <c r="J2026" s="1412">
        <v>0</v>
      </c>
      <c r="K2026" s="1412">
        <v>0</v>
      </c>
      <c r="L2026" s="1412">
        <v>77857.210000000006</v>
      </c>
      <c r="M2026" s="1575">
        <v>0</v>
      </c>
      <c r="N2026" s="1575"/>
      <c r="O2026" s="1575">
        <v>77857.210000000006</v>
      </c>
      <c r="P2026" s="1575"/>
      <c r="Q2026" s="1575">
        <v>0</v>
      </c>
      <c r="R2026" s="1575"/>
      <c r="S2026" s="1575"/>
      <c r="T2026" s="1575"/>
      <c r="U2026" s="1575"/>
    </row>
    <row r="2027" spans="1:21" ht="19.149999999999999" customHeight="1">
      <c r="A2027" s="1574" t="s">
        <v>1322</v>
      </c>
      <c r="B2027" s="1574"/>
      <c r="C2027" s="1574" t="s">
        <v>6372</v>
      </c>
      <c r="D2027" s="1574"/>
      <c r="E2027" s="1574"/>
      <c r="F2027" s="1574" t="s">
        <v>2392</v>
      </c>
      <c r="G2027" s="1574"/>
      <c r="H2027" s="1574"/>
      <c r="I2027" s="1574"/>
      <c r="J2027" s="1412">
        <v>3663.53</v>
      </c>
      <c r="K2027" s="1412">
        <v>0</v>
      </c>
      <c r="L2027" s="1412">
        <v>3846.7</v>
      </c>
      <c r="M2027" s="1575">
        <v>0</v>
      </c>
      <c r="N2027" s="1575"/>
      <c r="O2027" s="1575">
        <v>7510.23</v>
      </c>
      <c r="P2027" s="1575"/>
      <c r="Q2027" s="1575">
        <v>0</v>
      </c>
      <c r="R2027" s="1575"/>
      <c r="S2027" s="1575"/>
      <c r="T2027" s="1575"/>
      <c r="U2027" s="1575"/>
    </row>
    <row r="2028" spans="1:21" ht="19.149999999999999" customHeight="1">
      <c r="A2028" s="1574" t="s">
        <v>1322</v>
      </c>
      <c r="B2028" s="1574"/>
      <c r="C2028" s="1574" t="s">
        <v>2777</v>
      </c>
      <c r="D2028" s="1574"/>
      <c r="E2028" s="1574"/>
      <c r="F2028" s="1574" t="s">
        <v>2396</v>
      </c>
      <c r="G2028" s="1574"/>
      <c r="H2028" s="1574"/>
      <c r="I2028" s="1574"/>
      <c r="J2028" s="1412">
        <v>80195.23</v>
      </c>
      <c r="K2028" s="1412">
        <v>0</v>
      </c>
      <c r="L2028" s="1412">
        <v>11770.92</v>
      </c>
      <c r="M2028" s="1575">
        <v>0</v>
      </c>
      <c r="N2028" s="1575"/>
      <c r="O2028" s="1575">
        <v>91966.15</v>
      </c>
      <c r="P2028" s="1575"/>
      <c r="Q2028" s="1575">
        <v>0</v>
      </c>
      <c r="R2028" s="1575"/>
      <c r="S2028" s="1575"/>
      <c r="T2028" s="1575"/>
      <c r="U2028" s="1575"/>
    </row>
    <row r="2029" spans="1:21" ht="19.149999999999999" customHeight="1">
      <c r="A2029" s="1574" t="s">
        <v>1322</v>
      </c>
      <c r="B2029" s="1574"/>
      <c r="C2029" s="1574" t="s">
        <v>2778</v>
      </c>
      <c r="D2029" s="1574"/>
      <c r="E2029" s="1574"/>
      <c r="F2029" s="1574" t="s">
        <v>2398</v>
      </c>
      <c r="G2029" s="1574"/>
      <c r="H2029" s="1574"/>
      <c r="I2029" s="1574"/>
      <c r="J2029" s="1412">
        <v>2568.56</v>
      </c>
      <c r="K2029" s="1412">
        <v>0</v>
      </c>
      <c r="L2029" s="1412">
        <v>216.07</v>
      </c>
      <c r="M2029" s="1575">
        <v>0</v>
      </c>
      <c r="N2029" s="1575"/>
      <c r="O2029" s="1575">
        <v>2784.63</v>
      </c>
      <c r="P2029" s="1575"/>
      <c r="Q2029" s="1575">
        <v>0</v>
      </c>
      <c r="R2029" s="1575"/>
      <c r="S2029" s="1575"/>
      <c r="T2029" s="1575"/>
      <c r="U2029" s="1575"/>
    </row>
    <row r="2030" spans="1:21" ht="19.149999999999999" customHeight="1">
      <c r="A2030" s="1574" t="s">
        <v>1322</v>
      </c>
      <c r="B2030" s="1574"/>
      <c r="C2030" s="1574" t="s">
        <v>2779</v>
      </c>
      <c r="D2030" s="1574"/>
      <c r="E2030" s="1574"/>
      <c r="F2030" s="1574" t="s">
        <v>2400</v>
      </c>
      <c r="G2030" s="1574"/>
      <c r="H2030" s="1574"/>
      <c r="I2030" s="1574"/>
      <c r="J2030" s="1412">
        <v>41835.300000000003</v>
      </c>
      <c r="K2030" s="1412">
        <v>0</v>
      </c>
      <c r="L2030" s="1412">
        <v>0</v>
      </c>
      <c r="M2030" s="1575">
        <v>0</v>
      </c>
      <c r="N2030" s="1575"/>
      <c r="O2030" s="1575">
        <v>41835.300000000003</v>
      </c>
      <c r="P2030" s="1575"/>
      <c r="Q2030" s="1575">
        <v>0</v>
      </c>
      <c r="R2030" s="1575"/>
      <c r="S2030" s="1575"/>
      <c r="T2030" s="1575"/>
      <c r="U2030" s="1575"/>
    </row>
    <row r="2031" spans="1:21" ht="19.149999999999999" customHeight="1">
      <c r="A2031" s="1574" t="s">
        <v>1322</v>
      </c>
      <c r="B2031" s="1574"/>
      <c r="C2031" s="1574" t="s">
        <v>2780</v>
      </c>
      <c r="D2031" s="1574"/>
      <c r="E2031" s="1574"/>
      <c r="F2031" s="1574" t="s">
        <v>2402</v>
      </c>
      <c r="G2031" s="1574"/>
      <c r="H2031" s="1574"/>
      <c r="I2031" s="1574"/>
      <c r="J2031" s="1412">
        <v>29492.400000000001</v>
      </c>
      <c r="K2031" s="1412">
        <v>0</v>
      </c>
      <c r="L2031" s="1412">
        <v>2688.6</v>
      </c>
      <c r="M2031" s="1575">
        <v>0</v>
      </c>
      <c r="N2031" s="1575"/>
      <c r="O2031" s="1575">
        <v>32181</v>
      </c>
      <c r="P2031" s="1575"/>
      <c r="Q2031" s="1575">
        <v>0</v>
      </c>
      <c r="R2031" s="1575"/>
      <c r="S2031" s="1575"/>
      <c r="T2031" s="1575"/>
      <c r="U2031" s="1575"/>
    </row>
    <row r="2032" spans="1:21" ht="19.149999999999999" customHeight="1">
      <c r="A2032" s="1574" t="s">
        <v>1322</v>
      </c>
      <c r="B2032" s="1574"/>
      <c r="C2032" s="1574" t="s">
        <v>3342</v>
      </c>
      <c r="D2032" s="1574"/>
      <c r="E2032" s="1574"/>
      <c r="F2032" s="1574" t="s">
        <v>2404</v>
      </c>
      <c r="G2032" s="1574"/>
      <c r="H2032" s="1574"/>
      <c r="I2032" s="1574"/>
      <c r="J2032" s="1412">
        <v>3775767.48</v>
      </c>
      <c r="K2032" s="1412">
        <v>0</v>
      </c>
      <c r="L2032" s="1412">
        <v>309570.68</v>
      </c>
      <c r="M2032" s="1575">
        <v>0</v>
      </c>
      <c r="N2032" s="1575"/>
      <c r="O2032" s="1575">
        <v>4085338.16</v>
      </c>
      <c r="P2032" s="1575"/>
      <c r="Q2032" s="1575">
        <v>0</v>
      </c>
      <c r="R2032" s="1575"/>
      <c r="S2032" s="1575"/>
      <c r="T2032" s="1575"/>
      <c r="U2032" s="1575"/>
    </row>
    <row r="2033" spans="1:23" ht="19.149999999999999" customHeight="1">
      <c r="A2033" s="1574" t="s">
        <v>1322</v>
      </c>
      <c r="B2033" s="1574"/>
      <c r="C2033" s="1574" t="s">
        <v>3343</v>
      </c>
      <c r="D2033" s="1574"/>
      <c r="E2033" s="1574"/>
      <c r="F2033" s="1574" t="s">
        <v>2404</v>
      </c>
      <c r="G2033" s="1574"/>
      <c r="H2033" s="1574"/>
      <c r="I2033" s="1574"/>
      <c r="J2033" s="1412">
        <v>1291500.3799999999</v>
      </c>
      <c r="K2033" s="1412">
        <v>0</v>
      </c>
      <c r="L2033" s="1412">
        <v>105454.58</v>
      </c>
      <c r="M2033" s="1575">
        <v>0</v>
      </c>
      <c r="N2033" s="1575"/>
      <c r="O2033" s="1575">
        <v>1396954.96</v>
      </c>
      <c r="P2033" s="1575"/>
      <c r="Q2033" s="1575">
        <v>0</v>
      </c>
      <c r="R2033" s="1575"/>
      <c r="S2033" s="1575"/>
      <c r="T2033" s="1575"/>
      <c r="U2033" s="1575"/>
    </row>
    <row r="2034" spans="1:23" ht="19.149999999999999" customHeight="1">
      <c r="A2034" s="1574" t="s">
        <v>1322</v>
      </c>
      <c r="B2034" s="1574"/>
      <c r="C2034" s="1574" t="s">
        <v>3344</v>
      </c>
      <c r="D2034" s="1574"/>
      <c r="E2034" s="1574"/>
      <c r="F2034" s="1574" t="s">
        <v>2404</v>
      </c>
      <c r="G2034" s="1574"/>
      <c r="H2034" s="1574"/>
      <c r="I2034" s="1574"/>
      <c r="J2034" s="1412">
        <v>860000</v>
      </c>
      <c r="K2034" s="1412">
        <v>0</v>
      </c>
      <c r="L2034" s="1412">
        <v>78500</v>
      </c>
      <c r="M2034" s="1575">
        <v>0</v>
      </c>
      <c r="N2034" s="1575"/>
      <c r="O2034" s="1575">
        <v>938500</v>
      </c>
      <c r="P2034" s="1575"/>
      <c r="Q2034" s="1575">
        <v>0</v>
      </c>
      <c r="R2034" s="1575"/>
      <c r="S2034" s="1575"/>
      <c r="T2034" s="1575"/>
      <c r="U2034" s="1575"/>
    </row>
    <row r="2035" spans="1:23" ht="19.149999999999999" customHeight="1">
      <c r="A2035" s="1574" t="s">
        <v>1322</v>
      </c>
      <c r="B2035" s="1574"/>
      <c r="C2035" s="1574" t="s">
        <v>6373</v>
      </c>
      <c r="D2035" s="1574"/>
      <c r="E2035" s="1574"/>
      <c r="F2035" s="1574" t="s">
        <v>2404</v>
      </c>
      <c r="G2035" s="1574"/>
      <c r="H2035" s="1574"/>
      <c r="I2035" s="1574"/>
      <c r="J2035" s="1412">
        <v>200000</v>
      </c>
      <c r="K2035" s="1412">
        <v>0</v>
      </c>
      <c r="L2035" s="1412">
        <v>40000</v>
      </c>
      <c r="M2035" s="1575">
        <v>0</v>
      </c>
      <c r="N2035" s="1575"/>
      <c r="O2035" s="1575">
        <v>240000</v>
      </c>
      <c r="P2035" s="1575"/>
      <c r="Q2035" s="1575">
        <v>0</v>
      </c>
      <c r="R2035" s="1575"/>
      <c r="S2035" s="1575"/>
      <c r="T2035" s="1575"/>
      <c r="U2035" s="1575"/>
    </row>
    <row r="2036" spans="1:23" ht="19.149999999999999" customHeight="1">
      <c r="A2036" s="1574" t="s">
        <v>1322</v>
      </c>
      <c r="B2036" s="1574"/>
      <c r="C2036" s="1574" t="s">
        <v>2781</v>
      </c>
      <c r="D2036" s="1574"/>
      <c r="E2036" s="1574"/>
      <c r="F2036" s="1574" t="s">
        <v>2387</v>
      </c>
      <c r="G2036" s="1574"/>
      <c r="H2036" s="1574"/>
      <c r="I2036" s="1574"/>
      <c r="J2036" s="1412">
        <v>2423743.27</v>
      </c>
      <c r="K2036" s="1412">
        <v>0</v>
      </c>
      <c r="L2036" s="1412">
        <v>192586.2</v>
      </c>
      <c r="M2036" s="1575">
        <v>0</v>
      </c>
      <c r="N2036" s="1575"/>
      <c r="O2036" s="1575">
        <v>2616329.4700000002</v>
      </c>
      <c r="P2036" s="1575"/>
      <c r="Q2036" s="1575">
        <v>0</v>
      </c>
      <c r="R2036" s="1575"/>
      <c r="S2036" s="1575"/>
      <c r="T2036" s="1575"/>
      <c r="U2036" s="1575"/>
    </row>
    <row r="2037" spans="1:23" ht="19.149999999999999" customHeight="1">
      <c r="A2037" s="1574" t="s">
        <v>1322</v>
      </c>
      <c r="B2037" s="1574"/>
      <c r="C2037" s="1574" t="s">
        <v>6838</v>
      </c>
      <c r="D2037" s="1574"/>
      <c r="E2037" s="1574"/>
      <c r="F2037" s="1574" t="s">
        <v>2390</v>
      </c>
      <c r="G2037" s="1574"/>
      <c r="H2037" s="1574"/>
      <c r="I2037" s="1574"/>
      <c r="J2037" s="1412">
        <v>41283.410000000003</v>
      </c>
      <c r="K2037" s="1412">
        <v>0</v>
      </c>
      <c r="L2037" s="1412">
        <v>324828.71999999997</v>
      </c>
      <c r="M2037" s="1575">
        <v>0</v>
      </c>
      <c r="N2037" s="1575"/>
      <c r="O2037" s="1575">
        <v>366112.13</v>
      </c>
      <c r="P2037" s="1575"/>
      <c r="Q2037" s="1575">
        <v>0</v>
      </c>
      <c r="R2037" s="1575"/>
      <c r="S2037" s="1575"/>
      <c r="T2037" s="1575"/>
      <c r="U2037" s="1575"/>
    </row>
    <row r="2038" spans="1:23" ht="19.149999999999999" customHeight="1">
      <c r="A2038" s="1574" t="s">
        <v>1322</v>
      </c>
      <c r="B2038" s="1574"/>
      <c r="C2038" s="1574" t="s">
        <v>6374</v>
      </c>
      <c r="D2038" s="1574"/>
      <c r="E2038" s="1574"/>
      <c r="F2038" s="1574" t="s">
        <v>2392</v>
      </c>
      <c r="G2038" s="1574"/>
      <c r="H2038" s="1574"/>
      <c r="I2038" s="1574"/>
      <c r="J2038" s="1412">
        <v>38104.79</v>
      </c>
      <c r="K2038" s="1412">
        <v>0</v>
      </c>
      <c r="L2038" s="1412">
        <v>16048.86</v>
      </c>
      <c r="M2038" s="1575">
        <v>0</v>
      </c>
      <c r="N2038" s="1575"/>
      <c r="O2038" s="1575">
        <v>54153.65</v>
      </c>
      <c r="P2038" s="1575"/>
      <c r="Q2038" s="1575">
        <v>0</v>
      </c>
      <c r="R2038" s="1575"/>
      <c r="S2038" s="1575"/>
      <c r="T2038" s="1575"/>
      <c r="U2038" s="1575"/>
    </row>
    <row r="2039" spans="1:23" ht="15.2" customHeight="1"/>
    <row r="2040" spans="1:23" ht="14.1" customHeight="1">
      <c r="S2040" s="1573" t="s">
        <v>6576</v>
      </c>
      <c r="T2040" s="1573"/>
      <c r="U2040" s="1573"/>
      <c r="V2040" s="1573"/>
      <c r="W2040" s="1573"/>
    </row>
    <row r="2041" spans="1:23" ht="7.15" customHeight="1">
      <c r="C2041" s="1586" t="s">
        <v>2987</v>
      </c>
      <c r="D2041" s="1586"/>
      <c r="E2041" s="1586"/>
      <c r="F2041" s="1586"/>
      <c r="G2041" s="1586"/>
      <c r="H2041" s="1586"/>
      <c r="I2041" s="1586"/>
      <c r="J2041" s="1586"/>
      <c r="K2041" s="1586"/>
      <c r="L2041" s="1586"/>
      <c r="M2041" s="1586"/>
      <c r="N2041" s="1586"/>
      <c r="O2041" s="1586"/>
      <c r="P2041" s="1586"/>
      <c r="Q2041" s="1586"/>
      <c r="R2041" s="1586"/>
      <c r="S2041" s="1586"/>
      <c r="T2041" s="1586"/>
    </row>
    <row r="2042" spans="1:23" ht="9.6" customHeight="1">
      <c r="A2042" s="1587"/>
      <c r="B2042" s="1587"/>
      <c r="C2042" s="1587"/>
      <c r="D2042" s="1587"/>
      <c r="E2042" s="1587"/>
      <c r="F2042" s="1587"/>
      <c r="G2042" s="1586"/>
      <c r="H2042" s="1586"/>
      <c r="I2042" s="1586"/>
      <c r="J2042" s="1586"/>
      <c r="K2042" s="1586"/>
      <c r="L2042" s="1586"/>
      <c r="M2042" s="1586"/>
      <c r="N2042" s="1586"/>
      <c r="O2042" s="1586"/>
      <c r="P2042" s="1586"/>
      <c r="Q2042" s="1586"/>
      <c r="R2042" s="1586"/>
      <c r="S2042" s="1586"/>
      <c r="T2042" s="1586"/>
    </row>
    <row r="2043" spans="1:23" ht="13.35" customHeight="1">
      <c r="A2043" s="1587"/>
      <c r="B2043" s="1587"/>
      <c r="C2043" s="1587"/>
      <c r="D2043" s="1587"/>
      <c r="E2043" s="1587"/>
      <c r="F2043" s="1587"/>
      <c r="G2043" s="1588" t="s">
        <v>79</v>
      </c>
      <c r="H2043" s="1588"/>
      <c r="I2043" s="1588"/>
      <c r="J2043" s="1588"/>
      <c r="K2043" s="1588"/>
      <c r="L2043" s="1588"/>
      <c r="M2043" s="1588"/>
      <c r="N2043" s="1588"/>
      <c r="O2043" s="1588"/>
      <c r="P2043" s="1588"/>
      <c r="Q2043" s="1588"/>
      <c r="R2043" s="1588"/>
    </row>
    <row r="2044" spans="1:23" ht="5.25" customHeight="1">
      <c r="A2044" s="1587"/>
      <c r="B2044" s="1587"/>
      <c r="C2044" s="1587"/>
      <c r="D2044" s="1587"/>
      <c r="E2044" s="1587"/>
      <c r="F2044" s="1587"/>
      <c r="G2044" s="1581" t="s">
        <v>7015</v>
      </c>
      <c r="H2044" s="1581"/>
      <c r="I2044" s="1581"/>
      <c r="J2044" s="1581"/>
      <c r="K2044" s="1581"/>
      <c r="L2044" s="1581"/>
      <c r="M2044" s="1581"/>
      <c r="N2044" s="1581"/>
      <c r="O2044" s="1581"/>
      <c r="P2044" s="1581"/>
      <c r="Q2044" s="1581"/>
    </row>
    <row r="2045" spans="1:23" ht="8.1" customHeight="1">
      <c r="B2045" s="1580" t="s">
        <v>1916</v>
      </c>
      <c r="C2045" s="1580"/>
      <c r="D2045" s="1580"/>
      <c r="E2045" s="1580"/>
      <c r="F2045" s="1580"/>
      <c r="G2045" s="1580"/>
      <c r="H2045" s="1581"/>
      <c r="I2045" s="1581"/>
      <c r="J2045" s="1581"/>
      <c r="K2045" s="1581"/>
      <c r="L2045" s="1581"/>
      <c r="M2045" s="1581"/>
      <c r="N2045" s="1582" t="s">
        <v>5619</v>
      </c>
      <c r="O2045" s="1582"/>
      <c r="P2045" s="1582"/>
      <c r="Q2045" s="1582"/>
      <c r="R2045" s="1582"/>
      <c r="S2045" s="1582"/>
      <c r="T2045" s="1583" t="s">
        <v>7016</v>
      </c>
      <c r="U2045" s="1583"/>
      <c r="V2045" s="1583"/>
      <c r="W2045" s="1583"/>
    </row>
    <row r="2046" spans="1:23" ht="6" customHeight="1">
      <c r="B2046" s="1580"/>
      <c r="C2046" s="1580"/>
      <c r="D2046" s="1580"/>
      <c r="E2046" s="1580"/>
      <c r="F2046" s="1580"/>
      <c r="G2046" s="1580"/>
      <c r="H2046" s="1584" t="s">
        <v>7017</v>
      </c>
      <c r="I2046" s="1584"/>
      <c r="J2046" s="1584"/>
      <c r="K2046" s="1584"/>
      <c r="L2046" s="1584"/>
      <c r="M2046" s="1584"/>
      <c r="N2046" s="1582"/>
      <c r="O2046" s="1582"/>
      <c r="P2046" s="1582"/>
      <c r="Q2046" s="1582"/>
      <c r="R2046" s="1582"/>
      <c r="S2046" s="1582"/>
      <c r="T2046" s="1583"/>
      <c r="U2046" s="1583"/>
      <c r="V2046" s="1583"/>
      <c r="W2046" s="1583"/>
    </row>
    <row r="2047" spans="1:23" ht="7.35" customHeight="1">
      <c r="B2047" s="1580" t="s">
        <v>1994</v>
      </c>
      <c r="C2047" s="1580"/>
      <c r="D2047" s="1580"/>
      <c r="E2047" s="1585"/>
      <c r="F2047" s="1585"/>
      <c r="G2047" s="1585"/>
      <c r="H2047" s="1585"/>
      <c r="I2047" s="1585"/>
      <c r="J2047" s="1585"/>
      <c r="K2047" s="1585"/>
      <c r="L2047" s="1585"/>
      <c r="M2047" s="1585"/>
      <c r="N2047" s="1585"/>
      <c r="O2047" s="1585"/>
      <c r="P2047" s="1585"/>
      <c r="Q2047" s="1585"/>
      <c r="R2047" s="1582"/>
      <c r="S2047" s="1582"/>
      <c r="T2047" s="1582" t="s">
        <v>7018</v>
      </c>
      <c r="U2047" s="1582"/>
    </row>
    <row r="2048" spans="1:23" ht="6.75" customHeight="1">
      <c r="E2048" s="1585"/>
      <c r="F2048" s="1585"/>
      <c r="G2048" s="1585"/>
      <c r="H2048" s="1585"/>
      <c r="I2048" s="1585"/>
      <c r="J2048" s="1585"/>
      <c r="K2048" s="1585"/>
      <c r="L2048" s="1585"/>
      <c r="M2048" s="1585"/>
      <c r="N2048" s="1585"/>
      <c r="O2048" s="1585"/>
      <c r="P2048" s="1585"/>
      <c r="Q2048" s="1585"/>
      <c r="R2048" s="1582"/>
      <c r="S2048" s="1582"/>
      <c r="T2048" s="1582"/>
      <c r="U2048" s="1582"/>
    </row>
    <row r="2049" spans="1:21" ht="10.9" customHeight="1">
      <c r="A2049" s="1576"/>
      <c r="B2049" s="1576"/>
      <c r="C2049" s="1576"/>
      <c r="D2049" s="1576"/>
      <c r="E2049" s="1576"/>
      <c r="F2049" s="1576"/>
      <c r="G2049" s="1576"/>
      <c r="H2049" s="1576"/>
      <c r="I2049" s="1576"/>
      <c r="J2049" s="1577" t="s">
        <v>1314</v>
      </c>
      <c r="K2049" s="1577"/>
      <c r="L2049" s="1577" t="s">
        <v>1315</v>
      </c>
      <c r="M2049" s="1577"/>
      <c r="N2049" s="1577"/>
      <c r="O2049" s="1577" t="s">
        <v>1316</v>
      </c>
      <c r="P2049" s="1577"/>
      <c r="Q2049" s="1577"/>
      <c r="R2049" s="1577"/>
      <c r="S2049" s="1577"/>
      <c r="T2049" s="1577"/>
      <c r="U2049" s="1577"/>
    </row>
    <row r="2050" spans="1:21" ht="14.1" customHeight="1">
      <c r="A2050" s="1578" t="s">
        <v>1317</v>
      </c>
      <c r="B2050" s="1578"/>
      <c r="C2050" s="1578" t="s">
        <v>1318</v>
      </c>
      <c r="D2050" s="1578"/>
      <c r="E2050" s="1578"/>
      <c r="F2050" s="1578" t="s">
        <v>1319</v>
      </c>
      <c r="G2050" s="1578"/>
      <c r="H2050" s="1578"/>
      <c r="I2050" s="1578"/>
      <c r="J2050" s="1413" t="s">
        <v>1320</v>
      </c>
      <c r="K2050" s="1413" t="s">
        <v>1321</v>
      </c>
      <c r="L2050" s="1413" t="s">
        <v>1320</v>
      </c>
      <c r="M2050" s="1579" t="s">
        <v>1321</v>
      </c>
      <c r="N2050" s="1579"/>
      <c r="O2050" s="1579" t="s">
        <v>1320</v>
      </c>
      <c r="P2050" s="1579"/>
      <c r="Q2050" s="1579" t="s">
        <v>1321</v>
      </c>
      <c r="R2050" s="1579"/>
      <c r="S2050" s="1579"/>
      <c r="T2050" s="1579"/>
      <c r="U2050" s="1579"/>
    </row>
    <row r="2051" spans="1:21" ht="22.5" customHeight="1">
      <c r="A2051" s="1574" t="s">
        <v>1322</v>
      </c>
      <c r="B2051" s="1574"/>
      <c r="C2051" s="1574" t="s">
        <v>2782</v>
      </c>
      <c r="D2051" s="1574"/>
      <c r="E2051" s="1574"/>
      <c r="F2051" s="1574" t="s">
        <v>2396</v>
      </c>
      <c r="G2051" s="1574"/>
      <c r="H2051" s="1574"/>
      <c r="I2051" s="1574"/>
      <c r="J2051" s="1412">
        <v>394820.39</v>
      </c>
      <c r="K2051" s="1412">
        <v>0</v>
      </c>
      <c r="L2051" s="1412">
        <v>49109.52</v>
      </c>
      <c r="M2051" s="1575">
        <v>0</v>
      </c>
      <c r="N2051" s="1575"/>
      <c r="O2051" s="1575">
        <v>443929.91</v>
      </c>
      <c r="P2051" s="1575"/>
      <c r="Q2051" s="1575">
        <v>0</v>
      </c>
      <c r="R2051" s="1575"/>
      <c r="S2051" s="1575"/>
      <c r="T2051" s="1575"/>
      <c r="U2051" s="1575"/>
    </row>
    <row r="2052" spans="1:21" ht="19.149999999999999" customHeight="1">
      <c r="A2052" s="1574" t="s">
        <v>1322</v>
      </c>
      <c r="B2052" s="1574"/>
      <c r="C2052" s="1574" t="s">
        <v>2783</v>
      </c>
      <c r="D2052" s="1574"/>
      <c r="E2052" s="1574"/>
      <c r="F2052" s="1574" t="s">
        <v>2398</v>
      </c>
      <c r="G2052" s="1574"/>
      <c r="H2052" s="1574"/>
      <c r="I2052" s="1574"/>
      <c r="J2052" s="1412">
        <v>8219.4699999999993</v>
      </c>
      <c r="K2052" s="1412">
        <v>0</v>
      </c>
      <c r="L2052" s="1412">
        <v>691.44</v>
      </c>
      <c r="M2052" s="1575">
        <v>0</v>
      </c>
      <c r="N2052" s="1575"/>
      <c r="O2052" s="1575">
        <v>8910.91</v>
      </c>
      <c r="P2052" s="1575"/>
      <c r="Q2052" s="1575">
        <v>0</v>
      </c>
      <c r="R2052" s="1575"/>
      <c r="S2052" s="1575"/>
      <c r="T2052" s="1575"/>
      <c r="U2052" s="1575"/>
    </row>
    <row r="2053" spans="1:21" ht="19.149999999999999" customHeight="1">
      <c r="A2053" s="1574" t="s">
        <v>1322</v>
      </c>
      <c r="B2053" s="1574"/>
      <c r="C2053" s="1574" t="s">
        <v>2784</v>
      </c>
      <c r="D2053" s="1574"/>
      <c r="E2053" s="1574"/>
      <c r="F2053" s="1574" t="s">
        <v>2400</v>
      </c>
      <c r="G2053" s="1574"/>
      <c r="H2053" s="1574"/>
      <c r="I2053" s="1574"/>
      <c r="J2053" s="1412">
        <v>244021.44</v>
      </c>
      <c r="K2053" s="1412">
        <v>0</v>
      </c>
      <c r="L2053" s="1412">
        <v>0</v>
      </c>
      <c r="M2053" s="1575">
        <v>0</v>
      </c>
      <c r="N2053" s="1575"/>
      <c r="O2053" s="1575">
        <v>244021.44</v>
      </c>
      <c r="P2053" s="1575"/>
      <c r="Q2053" s="1575">
        <v>0</v>
      </c>
      <c r="R2053" s="1575"/>
      <c r="S2053" s="1575"/>
      <c r="T2053" s="1575"/>
      <c r="U2053" s="1575"/>
    </row>
    <row r="2054" spans="1:21" ht="19.149999999999999" customHeight="1">
      <c r="A2054" s="1574" t="s">
        <v>1322</v>
      </c>
      <c r="B2054" s="1574"/>
      <c r="C2054" s="1574" t="s">
        <v>2785</v>
      </c>
      <c r="D2054" s="1574"/>
      <c r="E2054" s="1574"/>
      <c r="F2054" s="1574" t="s">
        <v>2402</v>
      </c>
      <c r="G2054" s="1574"/>
      <c r="H2054" s="1574"/>
      <c r="I2054" s="1574"/>
      <c r="J2054" s="1412">
        <v>175310.55</v>
      </c>
      <c r="K2054" s="1412">
        <v>0</v>
      </c>
      <c r="L2054" s="1412">
        <v>13443</v>
      </c>
      <c r="M2054" s="1575">
        <v>0</v>
      </c>
      <c r="N2054" s="1575"/>
      <c r="O2054" s="1575">
        <v>188753.55</v>
      </c>
      <c r="P2054" s="1575"/>
      <c r="Q2054" s="1575">
        <v>0</v>
      </c>
      <c r="R2054" s="1575"/>
      <c r="S2054" s="1575"/>
      <c r="T2054" s="1575"/>
      <c r="U2054" s="1575"/>
    </row>
    <row r="2055" spans="1:21" ht="19.149999999999999" customHeight="1">
      <c r="A2055" s="1574" t="s">
        <v>1322</v>
      </c>
      <c r="B2055" s="1574"/>
      <c r="C2055" s="1574" t="s">
        <v>2865</v>
      </c>
      <c r="D2055" s="1574"/>
      <c r="E2055" s="1574"/>
      <c r="F2055" s="1574" t="s">
        <v>2416</v>
      </c>
      <c r="G2055" s="1574"/>
      <c r="H2055" s="1574"/>
      <c r="I2055" s="1574"/>
      <c r="J2055" s="1412">
        <v>367114.02</v>
      </c>
      <c r="K2055" s="1412">
        <v>0</v>
      </c>
      <c r="L2055" s="1412">
        <v>14945.12</v>
      </c>
      <c r="M2055" s="1575">
        <v>0</v>
      </c>
      <c r="N2055" s="1575"/>
      <c r="O2055" s="1575">
        <v>382059.14</v>
      </c>
      <c r="P2055" s="1575"/>
      <c r="Q2055" s="1575">
        <v>0</v>
      </c>
      <c r="R2055" s="1575"/>
      <c r="S2055" s="1575"/>
      <c r="T2055" s="1575"/>
      <c r="U2055" s="1575"/>
    </row>
    <row r="2056" spans="1:21" ht="19.149999999999999" customHeight="1">
      <c r="A2056" s="1574" t="s">
        <v>1322</v>
      </c>
      <c r="B2056" s="1574"/>
      <c r="C2056" s="1574" t="s">
        <v>2786</v>
      </c>
      <c r="D2056" s="1574"/>
      <c r="E2056" s="1574"/>
      <c r="F2056" s="1574" t="s">
        <v>2418</v>
      </c>
      <c r="G2056" s="1574"/>
      <c r="H2056" s="1574"/>
      <c r="I2056" s="1574"/>
      <c r="J2056" s="1412">
        <v>3910070.42</v>
      </c>
      <c r="K2056" s="1412">
        <v>0</v>
      </c>
      <c r="L2056" s="1412">
        <v>683469.02</v>
      </c>
      <c r="M2056" s="1575">
        <v>0</v>
      </c>
      <c r="N2056" s="1575"/>
      <c r="O2056" s="1575">
        <v>4593539.4400000004</v>
      </c>
      <c r="P2056" s="1575"/>
      <c r="Q2056" s="1575">
        <v>0</v>
      </c>
      <c r="R2056" s="1575"/>
      <c r="S2056" s="1575"/>
      <c r="T2056" s="1575"/>
      <c r="U2056" s="1575"/>
    </row>
    <row r="2057" spans="1:21" ht="19.149999999999999" customHeight="1">
      <c r="A2057" s="1574" t="s">
        <v>1322</v>
      </c>
      <c r="B2057" s="1574"/>
      <c r="C2057" s="1574" t="s">
        <v>2787</v>
      </c>
      <c r="D2057" s="1574"/>
      <c r="E2057" s="1574"/>
      <c r="F2057" s="1574" t="s">
        <v>2421</v>
      </c>
      <c r="G2057" s="1574"/>
      <c r="H2057" s="1574"/>
      <c r="I2057" s="1574"/>
      <c r="J2057" s="1412">
        <v>159575.03</v>
      </c>
      <c r="K2057" s="1412">
        <v>0</v>
      </c>
      <c r="L2057" s="1412">
        <v>11675.65</v>
      </c>
      <c r="M2057" s="1575">
        <v>0</v>
      </c>
      <c r="N2057" s="1575"/>
      <c r="O2057" s="1575">
        <v>171250.68</v>
      </c>
      <c r="P2057" s="1575"/>
      <c r="Q2057" s="1575">
        <v>0</v>
      </c>
      <c r="R2057" s="1575"/>
      <c r="S2057" s="1575"/>
      <c r="T2057" s="1575"/>
      <c r="U2057" s="1575"/>
    </row>
    <row r="2058" spans="1:21" ht="19.149999999999999" customHeight="1">
      <c r="A2058" s="1574" t="s">
        <v>1322</v>
      </c>
      <c r="B2058" s="1574"/>
      <c r="C2058" s="1574" t="s">
        <v>2788</v>
      </c>
      <c r="D2058" s="1574"/>
      <c r="E2058" s="1574"/>
      <c r="F2058" s="1574" t="s">
        <v>2423</v>
      </c>
      <c r="G2058" s="1574"/>
      <c r="H2058" s="1574"/>
      <c r="I2058" s="1574"/>
      <c r="J2058" s="1412">
        <v>3638517.17</v>
      </c>
      <c r="K2058" s="1412">
        <v>0</v>
      </c>
      <c r="L2058" s="1412">
        <v>612855.88</v>
      </c>
      <c r="M2058" s="1575">
        <v>0</v>
      </c>
      <c r="N2058" s="1575"/>
      <c r="O2058" s="1575">
        <v>4251373.05</v>
      </c>
      <c r="P2058" s="1575"/>
      <c r="Q2058" s="1575">
        <v>0</v>
      </c>
      <c r="R2058" s="1575"/>
      <c r="S2058" s="1575"/>
      <c r="T2058" s="1575"/>
      <c r="U2058" s="1575"/>
    </row>
    <row r="2059" spans="1:21" ht="19.149999999999999" customHeight="1">
      <c r="A2059" s="1574" t="s">
        <v>1322</v>
      </c>
      <c r="B2059" s="1574"/>
      <c r="C2059" s="1574" t="s">
        <v>5858</v>
      </c>
      <c r="D2059" s="1574"/>
      <c r="E2059" s="1574"/>
      <c r="F2059" s="1574" t="s">
        <v>2416</v>
      </c>
      <c r="G2059" s="1574"/>
      <c r="H2059" s="1574"/>
      <c r="I2059" s="1574"/>
      <c r="J2059" s="1412">
        <v>51800</v>
      </c>
      <c r="K2059" s="1412">
        <v>0</v>
      </c>
      <c r="L2059" s="1412">
        <v>14800</v>
      </c>
      <c r="M2059" s="1575">
        <v>0</v>
      </c>
      <c r="N2059" s="1575"/>
      <c r="O2059" s="1575">
        <v>66600</v>
      </c>
      <c r="P2059" s="1575"/>
      <c r="Q2059" s="1575">
        <v>0</v>
      </c>
      <c r="R2059" s="1575"/>
      <c r="S2059" s="1575"/>
      <c r="T2059" s="1575"/>
      <c r="U2059" s="1575"/>
    </row>
    <row r="2060" spans="1:21" ht="19.149999999999999" customHeight="1">
      <c r="A2060" s="1574" t="s">
        <v>1322</v>
      </c>
      <c r="B2060" s="1574"/>
      <c r="C2060" s="1574" t="s">
        <v>2789</v>
      </c>
      <c r="D2060" s="1574"/>
      <c r="E2060" s="1574"/>
      <c r="F2060" s="1574" t="s">
        <v>2418</v>
      </c>
      <c r="G2060" s="1574"/>
      <c r="H2060" s="1574"/>
      <c r="I2060" s="1574"/>
      <c r="J2060" s="1412">
        <v>1544044.35</v>
      </c>
      <c r="K2060" s="1412">
        <v>0</v>
      </c>
      <c r="L2060" s="1412">
        <v>250888.94</v>
      </c>
      <c r="M2060" s="1575">
        <v>0</v>
      </c>
      <c r="N2060" s="1575"/>
      <c r="O2060" s="1575">
        <v>1794933.29</v>
      </c>
      <c r="P2060" s="1575"/>
      <c r="Q2060" s="1575">
        <v>0</v>
      </c>
      <c r="R2060" s="1575"/>
      <c r="S2060" s="1575"/>
      <c r="T2060" s="1575"/>
      <c r="U2060" s="1575"/>
    </row>
    <row r="2061" spans="1:21" ht="19.149999999999999" customHeight="1">
      <c r="A2061" s="1574" t="s">
        <v>1322</v>
      </c>
      <c r="B2061" s="1574"/>
      <c r="C2061" s="1574" t="s">
        <v>5859</v>
      </c>
      <c r="D2061" s="1574"/>
      <c r="E2061" s="1574"/>
      <c r="F2061" s="1574" t="s">
        <v>2423</v>
      </c>
      <c r="G2061" s="1574"/>
      <c r="H2061" s="1574"/>
      <c r="I2061" s="1574"/>
      <c r="J2061" s="1412">
        <v>716185.03</v>
      </c>
      <c r="K2061" s="1412">
        <v>0</v>
      </c>
      <c r="L2061" s="1412">
        <v>316981.88</v>
      </c>
      <c r="M2061" s="1575">
        <v>0</v>
      </c>
      <c r="N2061" s="1575"/>
      <c r="O2061" s="1575">
        <v>1033166.91</v>
      </c>
      <c r="P2061" s="1575"/>
      <c r="Q2061" s="1575">
        <v>0</v>
      </c>
      <c r="R2061" s="1575"/>
      <c r="S2061" s="1575"/>
      <c r="T2061" s="1575"/>
      <c r="U2061" s="1575"/>
    </row>
    <row r="2062" spans="1:21" ht="19.149999999999999" customHeight="1">
      <c r="A2062" s="1574" t="s">
        <v>1322</v>
      </c>
      <c r="B2062" s="1574"/>
      <c r="C2062" s="1574" t="s">
        <v>5860</v>
      </c>
      <c r="D2062" s="1574"/>
      <c r="E2062" s="1574"/>
      <c r="F2062" s="1574" t="s">
        <v>2416</v>
      </c>
      <c r="G2062" s="1574"/>
      <c r="H2062" s="1574"/>
      <c r="I2062" s="1574"/>
      <c r="J2062" s="1412">
        <v>15400</v>
      </c>
      <c r="K2062" s="1412">
        <v>0</v>
      </c>
      <c r="L2062" s="1412">
        <v>4400</v>
      </c>
      <c r="M2062" s="1575">
        <v>0</v>
      </c>
      <c r="N2062" s="1575"/>
      <c r="O2062" s="1575">
        <v>19800</v>
      </c>
      <c r="P2062" s="1575"/>
      <c r="Q2062" s="1575">
        <v>0</v>
      </c>
      <c r="R2062" s="1575"/>
      <c r="S2062" s="1575"/>
      <c r="T2062" s="1575"/>
      <c r="U2062" s="1575"/>
    </row>
    <row r="2063" spans="1:21" ht="19.149999999999999" customHeight="1">
      <c r="A2063" s="1574" t="s">
        <v>1322</v>
      </c>
      <c r="B2063" s="1574"/>
      <c r="C2063" s="1574" t="s">
        <v>2790</v>
      </c>
      <c r="D2063" s="1574"/>
      <c r="E2063" s="1574"/>
      <c r="F2063" s="1574" t="s">
        <v>2418</v>
      </c>
      <c r="G2063" s="1574"/>
      <c r="H2063" s="1574"/>
      <c r="I2063" s="1574"/>
      <c r="J2063" s="1412">
        <v>247421.08</v>
      </c>
      <c r="K2063" s="1412">
        <v>0</v>
      </c>
      <c r="L2063" s="1412">
        <v>29577.66</v>
      </c>
      <c r="M2063" s="1575">
        <v>0</v>
      </c>
      <c r="N2063" s="1575"/>
      <c r="O2063" s="1575">
        <v>276998.74</v>
      </c>
      <c r="P2063" s="1575"/>
      <c r="Q2063" s="1575">
        <v>0</v>
      </c>
      <c r="R2063" s="1575"/>
      <c r="S2063" s="1575"/>
      <c r="T2063" s="1575"/>
      <c r="U2063" s="1575"/>
    </row>
    <row r="2064" spans="1:21" ht="19.149999999999999" customHeight="1">
      <c r="A2064" s="1574" t="s">
        <v>1322</v>
      </c>
      <c r="B2064" s="1574"/>
      <c r="C2064" s="1574" t="s">
        <v>2791</v>
      </c>
      <c r="D2064" s="1574"/>
      <c r="E2064" s="1574"/>
      <c r="F2064" s="1574" t="s">
        <v>2423</v>
      </c>
      <c r="G2064" s="1574"/>
      <c r="H2064" s="1574"/>
      <c r="I2064" s="1574"/>
      <c r="J2064" s="1412">
        <v>558620.91</v>
      </c>
      <c r="K2064" s="1412">
        <v>0</v>
      </c>
      <c r="L2064" s="1412">
        <v>82310.929999999993</v>
      </c>
      <c r="M2064" s="1575">
        <v>0</v>
      </c>
      <c r="N2064" s="1575"/>
      <c r="O2064" s="1575">
        <v>640931.83999999997</v>
      </c>
      <c r="P2064" s="1575"/>
      <c r="Q2064" s="1575">
        <v>0</v>
      </c>
      <c r="R2064" s="1575"/>
      <c r="S2064" s="1575"/>
      <c r="T2064" s="1575"/>
      <c r="U2064" s="1575"/>
    </row>
    <row r="2065" spans="1:23" ht="19.149999999999999" customHeight="1">
      <c r="A2065" s="1574" t="s">
        <v>1322</v>
      </c>
      <c r="B2065" s="1574"/>
      <c r="C2065" s="1574" t="s">
        <v>5861</v>
      </c>
      <c r="D2065" s="1574"/>
      <c r="E2065" s="1574"/>
      <c r="F2065" s="1574" t="s">
        <v>2416</v>
      </c>
      <c r="G2065" s="1574"/>
      <c r="H2065" s="1574"/>
      <c r="I2065" s="1574"/>
      <c r="J2065" s="1412">
        <v>11200</v>
      </c>
      <c r="K2065" s="1412">
        <v>0</v>
      </c>
      <c r="L2065" s="1412">
        <v>3200</v>
      </c>
      <c r="M2065" s="1575">
        <v>0</v>
      </c>
      <c r="N2065" s="1575"/>
      <c r="O2065" s="1575">
        <v>14400</v>
      </c>
      <c r="P2065" s="1575"/>
      <c r="Q2065" s="1575">
        <v>0</v>
      </c>
      <c r="R2065" s="1575"/>
      <c r="S2065" s="1575"/>
      <c r="T2065" s="1575"/>
      <c r="U2065" s="1575"/>
    </row>
    <row r="2066" spans="1:23" ht="19.149999999999999" customHeight="1">
      <c r="A2066" s="1574" t="s">
        <v>1322</v>
      </c>
      <c r="B2066" s="1574"/>
      <c r="C2066" s="1574" t="s">
        <v>2792</v>
      </c>
      <c r="D2066" s="1574"/>
      <c r="E2066" s="1574"/>
      <c r="F2066" s="1574" t="s">
        <v>2418</v>
      </c>
      <c r="G2066" s="1574"/>
      <c r="H2066" s="1574"/>
      <c r="I2066" s="1574"/>
      <c r="J2066" s="1412">
        <v>90960.48</v>
      </c>
      <c r="K2066" s="1412">
        <v>0</v>
      </c>
      <c r="L2066" s="1412">
        <v>16006.02</v>
      </c>
      <c r="M2066" s="1575">
        <v>0</v>
      </c>
      <c r="N2066" s="1575"/>
      <c r="O2066" s="1575">
        <v>106966.5</v>
      </c>
      <c r="P2066" s="1575"/>
      <c r="Q2066" s="1575">
        <v>0</v>
      </c>
      <c r="R2066" s="1575"/>
      <c r="S2066" s="1575"/>
      <c r="T2066" s="1575"/>
      <c r="U2066" s="1575"/>
    </row>
    <row r="2067" spans="1:23" ht="19.149999999999999" customHeight="1">
      <c r="A2067" s="1574" t="s">
        <v>1322</v>
      </c>
      <c r="B2067" s="1574"/>
      <c r="C2067" s="1574" t="s">
        <v>5862</v>
      </c>
      <c r="D2067" s="1574"/>
      <c r="E2067" s="1574"/>
      <c r="F2067" s="1574" t="s">
        <v>2423</v>
      </c>
      <c r="G2067" s="1574"/>
      <c r="H2067" s="1574"/>
      <c r="I2067" s="1574"/>
      <c r="J2067" s="1412">
        <v>408570.94</v>
      </c>
      <c r="K2067" s="1412">
        <v>0</v>
      </c>
      <c r="L2067" s="1412">
        <v>60252.33</v>
      </c>
      <c r="M2067" s="1575">
        <v>0</v>
      </c>
      <c r="N2067" s="1575"/>
      <c r="O2067" s="1575">
        <v>468823.27</v>
      </c>
      <c r="P2067" s="1575"/>
      <c r="Q2067" s="1575">
        <v>0</v>
      </c>
      <c r="R2067" s="1575"/>
      <c r="S2067" s="1575"/>
      <c r="T2067" s="1575"/>
      <c r="U2067" s="1575"/>
    </row>
    <row r="2068" spans="1:23" ht="19.149999999999999" customHeight="1">
      <c r="A2068" s="1574" t="s">
        <v>1322</v>
      </c>
      <c r="B2068" s="1574"/>
      <c r="C2068" s="1574" t="s">
        <v>5863</v>
      </c>
      <c r="D2068" s="1574"/>
      <c r="E2068" s="1574"/>
      <c r="F2068" s="1574" t="s">
        <v>2416</v>
      </c>
      <c r="G2068" s="1574"/>
      <c r="H2068" s="1574"/>
      <c r="I2068" s="1574"/>
      <c r="J2068" s="1412">
        <v>24600</v>
      </c>
      <c r="K2068" s="1412">
        <v>0</v>
      </c>
      <c r="L2068" s="1412">
        <v>7600</v>
      </c>
      <c r="M2068" s="1575">
        <v>0</v>
      </c>
      <c r="N2068" s="1575"/>
      <c r="O2068" s="1575">
        <v>32200</v>
      </c>
      <c r="P2068" s="1575"/>
      <c r="Q2068" s="1575">
        <v>0</v>
      </c>
      <c r="R2068" s="1575"/>
      <c r="S2068" s="1575"/>
      <c r="T2068" s="1575"/>
      <c r="U2068" s="1575"/>
    </row>
    <row r="2069" spans="1:23" ht="19.149999999999999" customHeight="1">
      <c r="A2069" s="1574" t="s">
        <v>1322</v>
      </c>
      <c r="B2069" s="1574"/>
      <c r="C2069" s="1574" t="s">
        <v>2793</v>
      </c>
      <c r="D2069" s="1574"/>
      <c r="E2069" s="1574"/>
      <c r="F2069" s="1574" t="s">
        <v>2418</v>
      </c>
      <c r="G2069" s="1574"/>
      <c r="H2069" s="1574"/>
      <c r="I2069" s="1574"/>
      <c r="J2069" s="1412">
        <v>214995.85</v>
      </c>
      <c r="K2069" s="1412">
        <v>0</v>
      </c>
      <c r="L2069" s="1412">
        <v>40913.08</v>
      </c>
      <c r="M2069" s="1575">
        <v>0</v>
      </c>
      <c r="N2069" s="1575"/>
      <c r="O2069" s="1575">
        <v>255908.93</v>
      </c>
      <c r="P2069" s="1575"/>
      <c r="Q2069" s="1575">
        <v>0</v>
      </c>
      <c r="R2069" s="1575"/>
      <c r="S2069" s="1575"/>
      <c r="T2069" s="1575"/>
      <c r="U2069" s="1575"/>
    </row>
    <row r="2070" spans="1:23" ht="19.149999999999999" customHeight="1">
      <c r="A2070" s="1574" t="s">
        <v>1322</v>
      </c>
      <c r="B2070" s="1574"/>
      <c r="C2070" s="1574" t="s">
        <v>2794</v>
      </c>
      <c r="D2070" s="1574"/>
      <c r="E2070" s="1574"/>
      <c r="F2070" s="1574" t="s">
        <v>2423</v>
      </c>
      <c r="G2070" s="1574"/>
      <c r="H2070" s="1574"/>
      <c r="I2070" s="1574"/>
      <c r="J2070" s="1412">
        <v>352315.78</v>
      </c>
      <c r="K2070" s="1412">
        <v>0</v>
      </c>
      <c r="L2070" s="1412">
        <v>58945.94</v>
      </c>
      <c r="M2070" s="1575">
        <v>0</v>
      </c>
      <c r="N2070" s="1575"/>
      <c r="O2070" s="1575">
        <v>411261.72</v>
      </c>
      <c r="P2070" s="1575"/>
      <c r="Q2070" s="1575">
        <v>0</v>
      </c>
      <c r="R2070" s="1575"/>
      <c r="S2070" s="1575"/>
      <c r="T2070" s="1575"/>
      <c r="U2070" s="1575"/>
    </row>
    <row r="2071" spans="1:23" ht="19.149999999999999" customHeight="1">
      <c r="A2071" s="1574" t="s">
        <v>1322</v>
      </c>
      <c r="B2071" s="1574"/>
      <c r="C2071" s="1574" t="s">
        <v>6681</v>
      </c>
      <c r="D2071" s="1574"/>
      <c r="E2071" s="1574"/>
      <c r="F2071" s="1574" t="s">
        <v>2443</v>
      </c>
      <c r="G2071" s="1574"/>
      <c r="H2071" s="1574"/>
      <c r="I2071" s="1574"/>
      <c r="J2071" s="1412">
        <v>4634.13</v>
      </c>
      <c r="K2071" s="1412">
        <v>0</v>
      </c>
      <c r="L2071" s="1412">
        <v>0</v>
      </c>
      <c r="M2071" s="1575">
        <v>0</v>
      </c>
      <c r="N2071" s="1575"/>
      <c r="O2071" s="1575">
        <v>4634.13</v>
      </c>
      <c r="P2071" s="1575"/>
      <c r="Q2071" s="1575">
        <v>0</v>
      </c>
      <c r="R2071" s="1575"/>
      <c r="S2071" s="1575"/>
      <c r="T2071" s="1575"/>
      <c r="U2071" s="1575"/>
    </row>
    <row r="2072" spans="1:23" ht="19.149999999999999" customHeight="1">
      <c r="A2072" s="1574" t="s">
        <v>1322</v>
      </c>
      <c r="B2072" s="1574"/>
      <c r="C2072" s="1574" t="s">
        <v>6375</v>
      </c>
      <c r="D2072" s="1574"/>
      <c r="E2072" s="1574"/>
      <c r="F2072" s="1574" t="s">
        <v>2421</v>
      </c>
      <c r="G2072" s="1574"/>
      <c r="H2072" s="1574"/>
      <c r="I2072" s="1574"/>
      <c r="J2072" s="1412">
        <v>47266.1</v>
      </c>
      <c r="K2072" s="1412">
        <v>0</v>
      </c>
      <c r="L2072" s="1412">
        <v>9453.2199999999993</v>
      </c>
      <c r="M2072" s="1575">
        <v>0</v>
      </c>
      <c r="N2072" s="1575"/>
      <c r="O2072" s="1575">
        <v>56719.32</v>
      </c>
      <c r="P2072" s="1575"/>
      <c r="Q2072" s="1575">
        <v>0</v>
      </c>
      <c r="R2072" s="1575"/>
      <c r="S2072" s="1575"/>
      <c r="T2072" s="1575"/>
      <c r="U2072" s="1575"/>
    </row>
    <row r="2073" spans="1:23" ht="19.149999999999999" customHeight="1">
      <c r="A2073" s="1574" t="s">
        <v>1322</v>
      </c>
      <c r="B2073" s="1574"/>
      <c r="C2073" s="1574" t="s">
        <v>6376</v>
      </c>
      <c r="D2073" s="1574"/>
      <c r="E2073" s="1574"/>
      <c r="F2073" s="1574" t="s">
        <v>2423</v>
      </c>
      <c r="G2073" s="1574"/>
      <c r="H2073" s="1574"/>
      <c r="I2073" s="1574"/>
      <c r="J2073" s="1412">
        <v>25076.37</v>
      </c>
      <c r="K2073" s="1412">
        <v>0</v>
      </c>
      <c r="L2073" s="1412">
        <v>0</v>
      </c>
      <c r="M2073" s="1575">
        <v>0</v>
      </c>
      <c r="N2073" s="1575"/>
      <c r="O2073" s="1575">
        <v>25076.37</v>
      </c>
      <c r="P2073" s="1575"/>
      <c r="Q2073" s="1575">
        <v>0</v>
      </c>
      <c r="R2073" s="1575"/>
      <c r="S2073" s="1575"/>
      <c r="T2073" s="1575"/>
      <c r="U2073" s="1575"/>
    </row>
    <row r="2074" spans="1:23" ht="6.95" customHeight="1"/>
    <row r="2075" spans="1:23" ht="14.1" customHeight="1">
      <c r="S2075" s="1573" t="s">
        <v>6579</v>
      </c>
      <c r="T2075" s="1573"/>
      <c r="U2075" s="1573"/>
      <c r="V2075" s="1573"/>
      <c r="W2075" s="1573"/>
    </row>
    <row r="2076" spans="1:23" ht="7.15" customHeight="1">
      <c r="C2076" s="1586" t="s">
        <v>2987</v>
      </c>
      <c r="D2076" s="1586"/>
      <c r="E2076" s="1586"/>
      <c r="F2076" s="1586"/>
      <c r="G2076" s="1586"/>
      <c r="H2076" s="1586"/>
      <c r="I2076" s="1586"/>
      <c r="J2076" s="1586"/>
      <c r="K2076" s="1586"/>
      <c r="L2076" s="1586"/>
      <c r="M2076" s="1586"/>
      <c r="N2076" s="1586"/>
      <c r="O2076" s="1586"/>
      <c r="P2076" s="1586"/>
      <c r="Q2076" s="1586"/>
      <c r="R2076" s="1586"/>
      <c r="S2076" s="1586"/>
      <c r="T2076" s="1586"/>
    </row>
    <row r="2077" spans="1:23" ht="9.6" customHeight="1">
      <c r="A2077" s="1587"/>
      <c r="B2077" s="1587"/>
      <c r="C2077" s="1587"/>
      <c r="D2077" s="1587"/>
      <c r="E2077" s="1587"/>
      <c r="F2077" s="1587"/>
      <c r="G2077" s="1586"/>
      <c r="H2077" s="1586"/>
      <c r="I2077" s="1586"/>
      <c r="J2077" s="1586"/>
      <c r="K2077" s="1586"/>
      <c r="L2077" s="1586"/>
      <c r="M2077" s="1586"/>
      <c r="N2077" s="1586"/>
      <c r="O2077" s="1586"/>
      <c r="P2077" s="1586"/>
      <c r="Q2077" s="1586"/>
      <c r="R2077" s="1586"/>
      <c r="S2077" s="1586"/>
      <c r="T2077" s="1586"/>
    </row>
    <row r="2078" spans="1:23" ht="13.35" customHeight="1">
      <c r="A2078" s="1587"/>
      <c r="B2078" s="1587"/>
      <c r="C2078" s="1587"/>
      <c r="D2078" s="1587"/>
      <c r="E2078" s="1587"/>
      <c r="F2078" s="1587"/>
      <c r="G2078" s="1588" t="s">
        <v>79</v>
      </c>
      <c r="H2078" s="1588"/>
      <c r="I2078" s="1588"/>
      <c r="J2078" s="1588"/>
      <c r="K2078" s="1588"/>
      <c r="L2078" s="1588"/>
      <c r="M2078" s="1588"/>
      <c r="N2078" s="1588"/>
      <c r="O2078" s="1588"/>
      <c r="P2078" s="1588"/>
      <c r="Q2078" s="1588"/>
      <c r="R2078" s="1588"/>
    </row>
    <row r="2079" spans="1:23" ht="5.25" customHeight="1">
      <c r="A2079" s="1587"/>
      <c r="B2079" s="1587"/>
      <c r="C2079" s="1587"/>
      <c r="D2079" s="1587"/>
      <c r="E2079" s="1587"/>
      <c r="F2079" s="1587"/>
      <c r="G2079" s="1581" t="s">
        <v>7015</v>
      </c>
      <c r="H2079" s="1581"/>
      <c r="I2079" s="1581"/>
      <c r="J2079" s="1581"/>
      <c r="K2079" s="1581"/>
      <c r="L2079" s="1581"/>
      <c r="M2079" s="1581"/>
      <c r="N2079" s="1581"/>
      <c r="O2079" s="1581"/>
      <c r="P2079" s="1581"/>
      <c r="Q2079" s="1581"/>
    </row>
    <row r="2080" spans="1:23" ht="8.1" customHeight="1">
      <c r="B2080" s="1580" t="s">
        <v>1916</v>
      </c>
      <c r="C2080" s="1580"/>
      <c r="D2080" s="1580"/>
      <c r="E2080" s="1580"/>
      <c r="F2080" s="1580"/>
      <c r="G2080" s="1580"/>
      <c r="H2080" s="1581"/>
      <c r="I2080" s="1581"/>
      <c r="J2080" s="1581"/>
      <c r="K2080" s="1581"/>
      <c r="L2080" s="1581"/>
      <c r="M2080" s="1581"/>
      <c r="N2080" s="1582" t="s">
        <v>5619</v>
      </c>
      <c r="O2080" s="1582"/>
      <c r="P2080" s="1582"/>
      <c r="Q2080" s="1582"/>
      <c r="R2080" s="1582"/>
      <c r="S2080" s="1582"/>
      <c r="T2080" s="1583" t="s">
        <v>7016</v>
      </c>
      <c r="U2080" s="1583"/>
      <c r="V2080" s="1583"/>
      <c r="W2080" s="1583"/>
    </row>
    <row r="2081" spans="1:23" ht="6" customHeight="1">
      <c r="B2081" s="1580"/>
      <c r="C2081" s="1580"/>
      <c r="D2081" s="1580"/>
      <c r="E2081" s="1580"/>
      <c r="F2081" s="1580"/>
      <c r="G2081" s="1580"/>
      <c r="H2081" s="1584" t="s">
        <v>7017</v>
      </c>
      <c r="I2081" s="1584"/>
      <c r="J2081" s="1584"/>
      <c r="K2081" s="1584"/>
      <c r="L2081" s="1584"/>
      <c r="M2081" s="1584"/>
      <c r="N2081" s="1582"/>
      <c r="O2081" s="1582"/>
      <c r="P2081" s="1582"/>
      <c r="Q2081" s="1582"/>
      <c r="R2081" s="1582"/>
      <c r="S2081" s="1582"/>
      <c r="T2081" s="1583"/>
      <c r="U2081" s="1583"/>
      <c r="V2081" s="1583"/>
      <c r="W2081" s="1583"/>
    </row>
    <row r="2082" spans="1:23" ht="7.35" customHeight="1">
      <c r="B2082" s="1580" t="s">
        <v>1994</v>
      </c>
      <c r="C2082" s="1580"/>
      <c r="D2082" s="1580"/>
      <c r="E2082" s="1585"/>
      <c r="F2082" s="1585"/>
      <c r="G2082" s="1585"/>
      <c r="H2082" s="1585"/>
      <c r="I2082" s="1585"/>
      <c r="J2082" s="1585"/>
      <c r="K2082" s="1585"/>
      <c r="L2082" s="1585"/>
      <c r="M2082" s="1585"/>
      <c r="N2082" s="1585"/>
      <c r="O2082" s="1585"/>
      <c r="P2082" s="1585"/>
      <c r="Q2082" s="1585"/>
      <c r="R2082" s="1582"/>
      <c r="S2082" s="1582"/>
      <c r="T2082" s="1582" t="s">
        <v>7018</v>
      </c>
      <c r="U2082" s="1582"/>
    </row>
    <row r="2083" spans="1:23" ht="6.75" customHeight="1">
      <c r="E2083" s="1585"/>
      <c r="F2083" s="1585"/>
      <c r="G2083" s="1585"/>
      <c r="H2083" s="1585"/>
      <c r="I2083" s="1585"/>
      <c r="J2083" s="1585"/>
      <c r="K2083" s="1585"/>
      <c r="L2083" s="1585"/>
      <c r="M2083" s="1585"/>
      <c r="N2083" s="1585"/>
      <c r="O2083" s="1585"/>
      <c r="P2083" s="1585"/>
      <c r="Q2083" s="1585"/>
      <c r="R2083" s="1582"/>
      <c r="S2083" s="1582"/>
      <c r="T2083" s="1582"/>
      <c r="U2083" s="1582"/>
    </row>
    <row r="2084" spans="1:23" ht="10.9" customHeight="1">
      <c r="A2084" s="1576"/>
      <c r="B2084" s="1576"/>
      <c r="C2084" s="1576"/>
      <c r="D2084" s="1576"/>
      <c r="E2084" s="1576"/>
      <c r="F2084" s="1576"/>
      <c r="G2084" s="1576"/>
      <c r="H2084" s="1576"/>
      <c r="I2084" s="1576"/>
      <c r="J2084" s="1577" t="s">
        <v>1314</v>
      </c>
      <c r="K2084" s="1577"/>
      <c r="L2084" s="1577" t="s">
        <v>1315</v>
      </c>
      <c r="M2084" s="1577"/>
      <c r="N2084" s="1577"/>
      <c r="O2084" s="1577" t="s">
        <v>1316</v>
      </c>
      <c r="P2084" s="1577"/>
      <c r="Q2084" s="1577"/>
      <c r="R2084" s="1577"/>
      <c r="S2084" s="1577"/>
      <c r="T2084" s="1577"/>
      <c r="U2084" s="1577"/>
    </row>
    <row r="2085" spans="1:23" ht="14.1" customHeight="1">
      <c r="A2085" s="1578" t="s">
        <v>1317</v>
      </c>
      <c r="B2085" s="1578"/>
      <c r="C2085" s="1578" t="s">
        <v>1318</v>
      </c>
      <c r="D2085" s="1578"/>
      <c r="E2085" s="1578"/>
      <c r="F2085" s="1578" t="s">
        <v>1319</v>
      </c>
      <c r="G2085" s="1578"/>
      <c r="H2085" s="1578"/>
      <c r="I2085" s="1578"/>
      <c r="J2085" s="1413" t="s">
        <v>1320</v>
      </c>
      <c r="K2085" s="1413" t="s">
        <v>1321</v>
      </c>
      <c r="L2085" s="1413" t="s">
        <v>1320</v>
      </c>
      <c r="M2085" s="1579" t="s">
        <v>1321</v>
      </c>
      <c r="N2085" s="1579"/>
      <c r="O2085" s="1579" t="s">
        <v>1320</v>
      </c>
      <c r="P2085" s="1579"/>
      <c r="Q2085" s="1579" t="s">
        <v>1321</v>
      </c>
      <c r="R2085" s="1579"/>
      <c r="S2085" s="1579"/>
      <c r="T2085" s="1579"/>
      <c r="U2085" s="1579"/>
    </row>
    <row r="2086" spans="1:23" ht="22.5" customHeight="1">
      <c r="A2086" s="1574" t="s">
        <v>1322</v>
      </c>
      <c r="B2086" s="1574"/>
      <c r="C2086" s="1574" t="s">
        <v>7072</v>
      </c>
      <c r="D2086" s="1574"/>
      <c r="E2086" s="1574"/>
      <c r="F2086" s="1574" t="s">
        <v>2500</v>
      </c>
      <c r="G2086" s="1574"/>
      <c r="H2086" s="1574"/>
      <c r="I2086" s="1574"/>
      <c r="J2086" s="1412">
        <v>0</v>
      </c>
      <c r="K2086" s="1412">
        <v>0</v>
      </c>
      <c r="L2086" s="1412">
        <v>15358.57</v>
      </c>
      <c r="M2086" s="1575">
        <v>0</v>
      </c>
      <c r="N2086" s="1575"/>
      <c r="O2086" s="1575">
        <v>15358.57</v>
      </c>
      <c r="P2086" s="1575"/>
      <c r="Q2086" s="1575">
        <v>0</v>
      </c>
      <c r="R2086" s="1575"/>
      <c r="S2086" s="1575"/>
      <c r="T2086" s="1575"/>
      <c r="U2086" s="1575"/>
    </row>
    <row r="2087" spans="1:23" ht="19.149999999999999" customHeight="1">
      <c r="A2087" s="1574" t="s">
        <v>1322</v>
      </c>
      <c r="B2087" s="1574"/>
      <c r="C2087" s="1574" t="s">
        <v>2795</v>
      </c>
      <c r="D2087" s="1574"/>
      <c r="E2087" s="1574"/>
      <c r="F2087" s="1574" t="s">
        <v>2387</v>
      </c>
      <c r="G2087" s="1574"/>
      <c r="H2087" s="1574"/>
      <c r="I2087" s="1574"/>
      <c r="J2087" s="1412">
        <v>486884.65</v>
      </c>
      <c r="K2087" s="1412">
        <v>0</v>
      </c>
      <c r="L2087" s="1412">
        <v>44262.3</v>
      </c>
      <c r="M2087" s="1575">
        <v>0</v>
      </c>
      <c r="N2087" s="1575"/>
      <c r="O2087" s="1575">
        <v>531146.94999999995</v>
      </c>
      <c r="P2087" s="1575"/>
      <c r="Q2087" s="1575">
        <v>0</v>
      </c>
      <c r="R2087" s="1575"/>
      <c r="S2087" s="1575"/>
      <c r="T2087" s="1575"/>
      <c r="U2087" s="1575"/>
    </row>
    <row r="2088" spans="1:23" ht="19.149999999999999" customHeight="1">
      <c r="A2088" s="1574" t="s">
        <v>1322</v>
      </c>
      <c r="B2088" s="1574"/>
      <c r="C2088" s="1574" t="s">
        <v>6682</v>
      </c>
      <c r="D2088" s="1574"/>
      <c r="E2088" s="1574"/>
      <c r="F2088" s="1574" t="s">
        <v>2390</v>
      </c>
      <c r="G2088" s="1574"/>
      <c r="H2088" s="1574"/>
      <c r="I2088" s="1574"/>
      <c r="J2088" s="1412">
        <v>0</v>
      </c>
      <c r="K2088" s="1412">
        <v>0</v>
      </c>
      <c r="L2088" s="1412">
        <v>74655.740000000005</v>
      </c>
      <c r="M2088" s="1575">
        <v>0</v>
      </c>
      <c r="N2088" s="1575"/>
      <c r="O2088" s="1575">
        <v>74655.740000000005</v>
      </c>
      <c r="P2088" s="1575"/>
      <c r="Q2088" s="1575">
        <v>0</v>
      </c>
      <c r="R2088" s="1575"/>
      <c r="S2088" s="1575"/>
      <c r="T2088" s="1575"/>
      <c r="U2088" s="1575"/>
    </row>
    <row r="2089" spans="1:23" ht="19.149999999999999" customHeight="1">
      <c r="A2089" s="1574" t="s">
        <v>1322</v>
      </c>
      <c r="B2089" s="1574"/>
      <c r="C2089" s="1574" t="s">
        <v>6377</v>
      </c>
      <c r="D2089" s="1574"/>
      <c r="E2089" s="1574"/>
      <c r="F2089" s="1574" t="s">
        <v>2392</v>
      </c>
      <c r="G2089" s="1574"/>
      <c r="H2089" s="1574"/>
      <c r="I2089" s="1574"/>
      <c r="J2089" s="1412">
        <v>3688.52</v>
      </c>
      <c r="K2089" s="1412">
        <v>0</v>
      </c>
      <c r="L2089" s="1412">
        <v>3688.53</v>
      </c>
      <c r="M2089" s="1575">
        <v>0</v>
      </c>
      <c r="N2089" s="1575"/>
      <c r="O2089" s="1575">
        <v>7377.05</v>
      </c>
      <c r="P2089" s="1575"/>
      <c r="Q2089" s="1575">
        <v>0</v>
      </c>
      <c r="R2089" s="1575"/>
      <c r="S2089" s="1575"/>
      <c r="T2089" s="1575"/>
      <c r="U2089" s="1575"/>
    </row>
    <row r="2090" spans="1:23" ht="19.149999999999999" customHeight="1">
      <c r="A2090" s="1574" t="s">
        <v>1322</v>
      </c>
      <c r="B2090" s="1574"/>
      <c r="C2090" s="1574" t="s">
        <v>3289</v>
      </c>
      <c r="D2090" s="1574"/>
      <c r="E2090" s="1574"/>
      <c r="F2090" s="1574" t="s">
        <v>2455</v>
      </c>
      <c r="G2090" s="1574"/>
      <c r="H2090" s="1574"/>
      <c r="I2090" s="1574"/>
      <c r="J2090" s="1412">
        <v>25081.83</v>
      </c>
      <c r="K2090" s="1412">
        <v>0</v>
      </c>
      <c r="L2090" s="1412">
        <v>991.64</v>
      </c>
      <c r="M2090" s="1575">
        <v>0</v>
      </c>
      <c r="N2090" s="1575"/>
      <c r="O2090" s="1575">
        <v>26073.47</v>
      </c>
      <c r="P2090" s="1575"/>
      <c r="Q2090" s="1575">
        <v>0</v>
      </c>
      <c r="R2090" s="1575"/>
      <c r="S2090" s="1575"/>
      <c r="T2090" s="1575"/>
      <c r="U2090" s="1575"/>
    </row>
    <row r="2091" spans="1:23" ht="19.149999999999999" customHeight="1">
      <c r="A2091" s="1574" t="s">
        <v>1322</v>
      </c>
      <c r="B2091" s="1574"/>
      <c r="C2091" s="1574" t="s">
        <v>2796</v>
      </c>
      <c r="D2091" s="1574"/>
      <c r="E2091" s="1574"/>
      <c r="F2091" s="1574" t="s">
        <v>2396</v>
      </c>
      <c r="G2091" s="1574"/>
      <c r="H2091" s="1574"/>
      <c r="I2091" s="1574"/>
      <c r="J2091" s="1412">
        <v>79226.53</v>
      </c>
      <c r="K2091" s="1412">
        <v>0</v>
      </c>
      <c r="L2091" s="1412">
        <v>11286.9</v>
      </c>
      <c r="M2091" s="1575">
        <v>0</v>
      </c>
      <c r="N2091" s="1575"/>
      <c r="O2091" s="1575">
        <v>90513.43</v>
      </c>
      <c r="P2091" s="1575"/>
      <c r="Q2091" s="1575">
        <v>0</v>
      </c>
      <c r="R2091" s="1575"/>
      <c r="S2091" s="1575"/>
      <c r="T2091" s="1575"/>
      <c r="U2091" s="1575"/>
    </row>
    <row r="2092" spans="1:23" ht="19.149999999999999" customHeight="1">
      <c r="A2092" s="1574" t="s">
        <v>1322</v>
      </c>
      <c r="B2092" s="1574"/>
      <c r="C2092" s="1574" t="s">
        <v>2797</v>
      </c>
      <c r="D2092" s="1574"/>
      <c r="E2092" s="1574"/>
      <c r="F2092" s="1574" t="s">
        <v>2398</v>
      </c>
      <c r="G2092" s="1574"/>
      <c r="H2092" s="1574"/>
      <c r="I2092" s="1574"/>
      <c r="J2092" s="1412">
        <v>4109.74</v>
      </c>
      <c r="K2092" s="1412">
        <v>0</v>
      </c>
      <c r="L2092" s="1412">
        <v>345.72</v>
      </c>
      <c r="M2092" s="1575">
        <v>0</v>
      </c>
      <c r="N2092" s="1575"/>
      <c r="O2092" s="1575">
        <v>4455.46</v>
      </c>
      <c r="P2092" s="1575"/>
      <c r="Q2092" s="1575">
        <v>0</v>
      </c>
      <c r="R2092" s="1575"/>
      <c r="S2092" s="1575"/>
      <c r="T2092" s="1575"/>
      <c r="U2092" s="1575"/>
    </row>
    <row r="2093" spans="1:23" ht="19.149999999999999" customHeight="1">
      <c r="A2093" s="1574" t="s">
        <v>1322</v>
      </c>
      <c r="B2093" s="1574"/>
      <c r="C2093" s="1574" t="s">
        <v>2798</v>
      </c>
      <c r="D2093" s="1574"/>
      <c r="E2093" s="1574"/>
      <c r="F2093" s="1574" t="s">
        <v>2400</v>
      </c>
      <c r="G2093" s="1574"/>
      <c r="H2093" s="1574"/>
      <c r="I2093" s="1574"/>
      <c r="J2093" s="1412">
        <v>65039.66</v>
      </c>
      <c r="K2093" s="1412">
        <v>0</v>
      </c>
      <c r="L2093" s="1412">
        <v>0</v>
      </c>
      <c r="M2093" s="1575">
        <v>0</v>
      </c>
      <c r="N2093" s="1575"/>
      <c r="O2093" s="1575">
        <v>65039.66</v>
      </c>
      <c r="P2093" s="1575"/>
      <c r="Q2093" s="1575">
        <v>0</v>
      </c>
      <c r="R2093" s="1575"/>
      <c r="S2093" s="1575"/>
      <c r="T2093" s="1575"/>
      <c r="U2093" s="1575"/>
    </row>
    <row r="2094" spans="1:23" ht="19.149999999999999" customHeight="1">
      <c r="A2094" s="1574" t="s">
        <v>1322</v>
      </c>
      <c r="B2094" s="1574"/>
      <c r="C2094" s="1574" t="s">
        <v>2799</v>
      </c>
      <c r="D2094" s="1574"/>
      <c r="E2094" s="1574"/>
      <c r="F2094" s="1574" t="s">
        <v>2402</v>
      </c>
      <c r="G2094" s="1574"/>
      <c r="H2094" s="1574"/>
      <c r="I2094" s="1574"/>
      <c r="J2094" s="1412">
        <v>54035.48</v>
      </c>
      <c r="K2094" s="1412">
        <v>0</v>
      </c>
      <c r="L2094" s="1412">
        <v>4919.78</v>
      </c>
      <c r="M2094" s="1575">
        <v>0</v>
      </c>
      <c r="N2094" s="1575"/>
      <c r="O2094" s="1575">
        <v>58955.26</v>
      </c>
      <c r="P2094" s="1575"/>
      <c r="Q2094" s="1575">
        <v>0</v>
      </c>
      <c r="R2094" s="1575"/>
      <c r="S2094" s="1575"/>
      <c r="T2094" s="1575"/>
      <c r="U2094" s="1575"/>
    </row>
    <row r="2095" spans="1:23" ht="19.149999999999999" customHeight="1">
      <c r="A2095" s="1574" t="s">
        <v>1322</v>
      </c>
      <c r="B2095" s="1574"/>
      <c r="C2095" s="1574" t="s">
        <v>2800</v>
      </c>
      <c r="D2095" s="1574"/>
      <c r="E2095" s="1574"/>
      <c r="F2095" s="1574" t="s">
        <v>2443</v>
      </c>
      <c r="G2095" s="1574"/>
      <c r="H2095" s="1574"/>
      <c r="I2095" s="1574"/>
      <c r="J2095" s="1412">
        <v>897797.8</v>
      </c>
      <c r="K2095" s="1412">
        <v>0</v>
      </c>
      <c r="L2095" s="1412">
        <v>273204.92</v>
      </c>
      <c r="M2095" s="1575">
        <v>0</v>
      </c>
      <c r="N2095" s="1575"/>
      <c r="O2095" s="1575">
        <v>1171002.72</v>
      </c>
      <c r="P2095" s="1575"/>
      <c r="Q2095" s="1575">
        <v>0</v>
      </c>
      <c r="R2095" s="1575"/>
      <c r="S2095" s="1575"/>
      <c r="T2095" s="1575"/>
      <c r="U2095" s="1575"/>
    </row>
    <row r="2096" spans="1:23" ht="19.149999999999999" customHeight="1">
      <c r="A2096" s="1574" t="s">
        <v>1322</v>
      </c>
      <c r="B2096" s="1574"/>
      <c r="C2096" s="1574" t="s">
        <v>5864</v>
      </c>
      <c r="D2096" s="1574"/>
      <c r="E2096" s="1574"/>
      <c r="F2096" s="1574" t="s">
        <v>2445</v>
      </c>
      <c r="G2096" s="1574"/>
      <c r="H2096" s="1574"/>
      <c r="I2096" s="1574"/>
      <c r="J2096" s="1412">
        <v>621214.67000000004</v>
      </c>
      <c r="K2096" s="1412">
        <v>0</v>
      </c>
      <c r="L2096" s="1412">
        <v>126656.37</v>
      </c>
      <c r="M2096" s="1575">
        <v>0</v>
      </c>
      <c r="N2096" s="1575"/>
      <c r="O2096" s="1575">
        <v>747871.04</v>
      </c>
      <c r="P2096" s="1575"/>
      <c r="Q2096" s="1575">
        <v>0</v>
      </c>
      <c r="R2096" s="1575"/>
      <c r="S2096" s="1575"/>
      <c r="T2096" s="1575"/>
      <c r="U2096" s="1575"/>
    </row>
    <row r="2097" spans="1:23" ht="19.149999999999999" customHeight="1">
      <c r="A2097" s="1574" t="s">
        <v>1322</v>
      </c>
      <c r="B2097" s="1574"/>
      <c r="C2097" s="1574" t="s">
        <v>5989</v>
      </c>
      <c r="D2097" s="1574"/>
      <c r="E2097" s="1574"/>
      <c r="F2097" s="1574" t="s">
        <v>2443</v>
      </c>
      <c r="G2097" s="1574"/>
      <c r="H2097" s="1574"/>
      <c r="I2097" s="1574"/>
      <c r="J2097" s="1412">
        <v>297122</v>
      </c>
      <c r="K2097" s="1412">
        <v>0</v>
      </c>
      <c r="L2097" s="1412">
        <v>82586</v>
      </c>
      <c r="M2097" s="1575">
        <v>0</v>
      </c>
      <c r="N2097" s="1575"/>
      <c r="O2097" s="1575">
        <v>379708</v>
      </c>
      <c r="P2097" s="1575"/>
      <c r="Q2097" s="1575">
        <v>0</v>
      </c>
      <c r="R2097" s="1575"/>
      <c r="S2097" s="1575"/>
      <c r="T2097" s="1575"/>
      <c r="U2097" s="1575"/>
    </row>
    <row r="2098" spans="1:23" ht="19.149999999999999" customHeight="1">
      <c r="A2098" s="1574" t="s">
        <v>1322</v>
      </c>
      <c r="B2098" s="1574"/>
      <c r="C2098" s="1574" t="s">
        <v>6273</v>
      </c>
      <c r="D2098" s="1574"/>
      <c r="E2098" s="1574"/>
      <c r="F2098" s="1574" t="s">
        <v>2445</v>
      </c>
      <c r="G2098" s="1574"/>
      <c r="H2098" s="1574"/>
      <c r="I2098" s="1574"/>
      <c r="J2098" s="1412">
        <v>280592.96000000002</v>
      </c>
      <c r="K2098" s="1412">
        <v>0</v>
      </c>
      <c r="L2098" s="1412">
        <v>0</v>
      </c>
      <c r="M2098" s="1575">
        <v>0</v>
      </c>
      <c r="N2098" s="1575"/>
      <c r="O2098" s="1575">
        <v>280592.96000000002</v>
      </c>
      <c r="P2098" s="1575"/>
      <c r="Q2098" s="1575">
        <v>0</v>
      </c>
      <c r="R2098" s="1575"/>
      <c r="S2098" s="1575"/>
      <c r="T2098" s="1575"/>
      <c r="U2098" s="1575"/>
    </row>
    <row r="2099" spans="1:23" ht="19.149999999999999" customHeight="1">
      <c r="A2099" s="1574" t="s">
        <v>1322</v>
      </c>
      <c r="B2099" s="1574"/>
      <c r="C2099" s="1574" t="s">
        <v>5990</v>
      </c>
      <c r="D2099" s="1574"/>
      <c r="E2099" s="1574"/>
      <c r="F2099" s="1574" t="s">
        <v>2443</v>
      </c>
      <c r="G2099" s="1574"/>
      <c r="H2099" s="1574"/>
      <c r="I2099" s="1574"/>
      <c r="J2099" s="1412">
        <v>2504601.09</v>
      </c>
      <c r="K2099" s="1412">
        <v>0</v>
      </c>
      <c r="L2099" s="1412">
        <v>750365.41</v>
      </c>
      <c r="M2099" s="1575">
        <v>0</v>
      </c>
      <c r="N2099" s="1575"/>
      <c r="O2099" s="1575">
        <v>3254966.5</v>
      </c>
      <c r="P2099" s="1575"/>
      <c r="Q2099" s="1575">
        <v>0</v>
      </c>
      <c r="R2099" s="1575"/>
      <c r="S2099" s="1575"/>
      <c r="T2099" s="1575"/>
      <c r="U2099" s="1575"/>
    </row>
    <row r="2100" spans="1:23" ht="19.149999999999999" customHeight="1">
      <c r="A2100" s="1574" t="s">
        <v>1322</v>
      </c>
      <c r="B2100" s="1574"/>
      <c r="C2100" s="1574" t="s">
        <v>5865</v>
      </c>
      <c r="D2100" s="1574"/>
      <c r="E2100" s="1574"/>
      <c r="F2100" s="1574" t="s">
        <v>2445</v>
      </c>
      <c r="G2100" s="1574"/>
      <c r="H2100" s="1574"/>
      <c r="I2100" s="1574"/>
      <c r="J2100" s="1412">
        <v>173136.16</v>
      </c>
      <c r="K2100" s="1412">
        <v>0</v>
      </c>
      <c r="L2100" s="1412">
        <v>132762</v>
      </c>
      <c r="M2100" s="1575">
        <v>0</v>
      </c>
      <c r="N2100" s="1575"/>
      <c r="O2100" s="1575">
        <v>305898.15999999997</v>
      </c>
      <c r="P2100" s="1575"/>
      <c r="Q2100" s="1575">
        <v>0</v>
      </c>
      <c r="R2100" s="1575"/>
      <c r="S2100" s="1575"/>
      <c r="T2100" s="1575"/>
      <c r="U2100" s="1575"/>
    </row>
    <row r="2101" spans="1:23" ht="19.149999999999999" customHeight="1">
      <c r="A2101" s="1574" t="s">
        <v>1322</v>
      </c>
      <c r="B2101" s="1574"/>
      <c r="C2101" s="1574" t="s">
        <v>5991</v>
      </c>
      <c r="D2101" s="1574"/>
      <c r="E2101" s="1574"/>
      <c r="F2101" s="1574" t="s">
        <v>2443</v>
      </c>
      <c r="G2101" s="1574"/>
      <c r="H2101" s="1574"/>
      <c r="I2101" s="1574"/>
      <c r="J2101" s="1412">
        <v>14703</v>
      </c>
      <c r="K2101" s="1412">
        <v>0</v>
      </c>
      <c r="L2101" s="1412">
        <v>5946</v>
      </c>
      <c r="M2101" s="1575">
        <v>0</v>
      </c>
      <c r="N2101" s="1575"/>
      <c r="O2101" s="1575">
        <v>20649</v>
      </c>
      <c r="P2101" s="1575"/>
      <c r="Q2101" s="1575">
        <v>0</v>
      </c>
      <c r="R2101" s="1575"/>
      <c r="S2101" s="1575"/>
      <c r="T2101" s="1575"/>
      <c r="U2101" s="1575"/>
    </row>
    <row r="2102" spans="1:23" ht="19.149999999999999" customHeight="1">
      <c r="A2102" s="1574" t="s">
        <v>1322</v>
      </c>
      <c r="B2102" s="1574"/>
      <c r="C2102" s="1574" t="s">
        <v>5930</v>
      </c>
      <c r="D2102" s="1574"/>
      <c r="E2102" s="1574"/>
      <c r="F2102" s="1574" t="s">
        <v>2445</v>
      </c>
      <c r="G2102" s="1574"/>
      <c r="H2102" s="1574"/>
      <c r="I2102" s="1574"/>
      <c r="J2102" s="1412">
        <v>189365.39</v>
      </c>
      <c r="K2102" s="1412">
        <v>0</v>
      </c>
      <c r="L2102" s="1412">
        <v>278427.08</v>
      </c>
      <c r="M2102" s="1575">
        <v>0</v>
      </c>
      <c r="N2102" s="1575"/>
      <c r="O2102" s="1575">
        <v>467792.47</v>
      </c>
      <c r="P2102" s="1575"/>
      <c r="Q2102" s="1575">
        <v>0</v>
      </c>
      <c r="R2102" s="1575"/>
      <c r="S2102" s="1575"/>
      <c r="T2102" s="1575"/>
      <c r="U2102" s="1575"/>
    </row>
    <row r="2103" spans="1:23" ht="19.149999999999999" customHeight="1">
      <c r="A2103" s="1574" t="s">
        <v>1322</v>
      </c>
      <c r="B2103" s="1574"/>
      <c r="C2103" s="1574" t="s">
        <v>2801</v>
      </c>
      <c r="D2103" s="1574"/>
      <c r="E2103" s="1574"/>
      <c r="F2103" s="1574" t="s">
        <v>2387</v>
      </c>
      <c r="G2103" s="1574"/>
      <c r="H2103" s="1574"/>
      <c r="I2103" s="1574"/>
      <c r="J2103" s="1412">
        <v>3807767.35</v>
      </c>
      <c r="K2103" s="1412">
        <v>0</v>
      </c>
      <c r="L2103" s="1412">
        <v>348709.8</v>
      </c>
      <c r="M2103" s="1575">
        <v>0</v>
      </c>
      <c r="N2103" s="1575"/>
      <c r="O2103" s="1575">
        <v>4156477.15</v>
      </c>
      <c r="P2103" s="1575"/>
      <c r="Q2103" s="1575">
        <v>0</v>
      </c>
      <c r="R2103" s="1575"/>
      <c r="S2103" s="1575"/>
      <c r="T2103" s="1575"/>
      <c r="U2103" s="1575"/>
    </row>
    <row r="2104" spans="1:23" ht="19.149999999999999" customHeight="1">
      <c r="A2104" s="1574" t="s">
        <v>1322</v>
      </c>
      <c r="B2104" s="1574"/>
      <c r="C2104" s="1574" t="s">
        <v>7073</v>
      </c>
      <c r="D2104" s="1574"/>
      <c r="E2104" s="1574"/>
      <c r="F2104" s="1574" t="s">
        <v>2390</v>
      </c>
      <c r="G2104" s="1574"/>
      <c r="H2104" s="1574"/>
      <c r="I2104" s="1574"/>
      <c r="J2104" s="1412">
        <v>0</v>
      </c>
      <c r="K2104" s="1412">
        <v>0</v>
      </c>
      <c r="L2104" s="1412">
        <v>593152.66</v>
      </c>
      <c r="M2104" s="1575">
        <v>0</v>
      </c>
      <c r="N2104" s="1575"/>
      <c r="O2104" s="1575">
        <v>593152.66</v>
      </c>
      <c r="P2104" s="1575"/>
      <c r="Q2104" s="1575">
        <v>0</v>
      </c>
      <c r="R2104" s="1575"/>
      <c r="S2104" s="1575"/>
      <c r="T2104" s="1575"/>
      <c r="U2104" s="1575"/>
    </row>
    <row r="2105" spans="1:23" ht="19.149999999999999" customHeight="1">
      <c r="A2105" s="1574" t="s">
        <v>1322</v>
      </c>
      <c r="B2105" s="1574"/>
      <c r="C2105" s="1574" t="s">
        <v>6378</v>
      </c>
      <c r="D2105" s="1574"/>
      <c r="E2105" s="1574"/>
      <c r="F2105" s="1574" t="s">
        <v>2392</v>
      </c>
      <c r="G2105" s="1574"/>
      <c r="H2105" s="1574"/>
      <c r="I2105" s="1574"/>
      <c r="J2105" s="1412">
        <v>28875.97</v>
      </c>
      <c r="K2105" s="1412">
        <v>0</v>
      </c>
      <c r="L2105" s="1412">
        <v>29059.17</v>
      </c>
      <c r="M2105" s="1575">
        <v>0</v>
      </c>
      <c r="N2105" s="1575"/>
      <c r="O2105" s="1575">
        <v>57935.14</v>
      </c>
      <c r="P2105" s="1575"/>
      <c r="Q2105" s="1575">
        <v>0</v>
      </c>
      <c r="R2105" s="1575"/>
      <c r="S2105" s="1575"/>
      <c r="T2105" s="1575"/>
      <c r="U2105" s="1575"/>
    </row>
    <row r="2106" spans="1:23" ht="19.149999999999999" customHeight="1">
      <c r="A2106" s="1574" t="s">
        <v>1322</v>
      </c>
      <c r="B2106" s="1574"/>
      <c r="C2106" s="1574" t="s">
        <v>2803</v>
      </c>
      <c r="D2106" s="1574"/>
      <c r="E2106" s="1574"/>
      <c r="F2106" s="1574" t="s">
        <v>2396</v>
      </c>
      <c r="G2106" s="1574"/>
      <c r="H2106" s="1574"/>
      <c r="I2106" s="1574"/>
      <c r="J2106" s="1412">
        <v>619400.6</v>
      </c>
      <c r="K2106" s="1412">
        <v>0</v>
      </c>
      <c r="L2106" s="1412">
        <v>88921.04</v>
      </c>
      <c r="M2106" s="1575">
        <v>0</v>
      </c>
      <c r="N2106" s="1575"/>
      <c r="O2106" s="1575">
        <v>708321.64</v>
      </c>
      <c r="P2106" s="1575"/>
      <c r="Q2106" s="1575">
        <v>0</v>
      </c>
      <c r="R2106" s="1575"/>
      <c r="S2106" s="1575"/>
      <c r="T2106" s="1575"/>
      <c r="U2106" s="1575"/>
    </row>
    <row r="2107" spans="1:23" ht="19.149999999999999" customHeight="1">
      <c r="A2107" s="1574" t="s">
        <v>1322</v>
      </c>
      <c r="B2107" s="1574"/>
      <c r="C2107" s="1574" t="s">
        <v>2804</v>
      </c>
      <c r="D2107" s="1574"/>
      <c r="E2107" s="1574"/>
      <c r="F2107" s="1574" t="s">
        <v>2398</v>
      </c>
      <c r="G2107" s="1574"/>
      <c r="H2107" s="1574"/>
      <c r="I2107" s="1574"/>
      <c r="J2107" s="1412">
        <v>30822.99</v>
      </c>
      <c r="K2107" s="1412">
        <v>0</v>
      </c>
      <c r="L2107" s="1412">
        <v>2592.89</v>
      </c>
      <c r="M2107" s="1575">
        <v>0</v>
      </c>
      <c r="N2107" s="1575"/>
      <c r="O2107" s="1575">
        <v>33415.879999999997</v>
      </c>
      <c r="P2107" s="1575"/>
      <c r="Q2107" s="1575">
        <v>0</v>
      </c>
      <c r="R2107" s="1575"/>
      <c r="S2107" s="1575"/>
      <c r="T2107" s="1575"/>
      <c r="U2107" s="1575"/>
    </row>
    <row r="2108" spans="1:23" ht="19.149999999999999" customHeight="1">
      <c r="A2108" s="1574" t="s">
        <v>1322</v>
      </c>
      <c r="B2108" s="1574"/>
      <c r="C2108" s="1574" t="s">
        <v>2805</v>
      </c>
      <c r="D2108" s="1574"/>
      <c r="E2108" s="1574"/>
      <c r="F2108" s="1574" t="s">
        <v>2400</v>
      </c>
      <c r="G2108" s="1574"/>
      <c r="H2108" s="1574"/>
      <c r="I2108" s="1574"/>
      <c r="J2108" s="1412">
        <v>333242.52</v>
      </c>
      <c r="K2108" s="1412">
        <v>0</v>
      </c>
      <c r="L2108" s="1412">
        <v>0</v>
      </c>
      <c r="M2108" s="1575">
        <v>0</v>
      </c>
      <c r="N2108" s="1575"/>
      <c r="O2108" s="1575">
        <v>333242.52</v>
      </c>
      <c r="P2108" s="1575"/>
      <c r="Q2108" s="1575">
        <v>0</v>
      </c>
      <c r="R2108" s="1575"/>
      <c r="S2108" s="1575"/>
      <c r="T2108" s="1575"/>
      <c r="U2108" s="1575"/>
    </row>
    <row r="2109" spans="1:23" ht="6.95" customHeight="1"/>
    <row r="2110" spans="1:23" ht="14.1" customHeight="1">
      <c r="S2110" s="1573" t="s">
        <v>6684</v>
      </c>
      <c r="T2110" s="1573"/>
      <c r="U2110" s="1573"/>
      <c r="V2110" s="1573"/>
      <c r="W2110" s="1573"/>
    </row>
    <row r="2111" spans="1:23" ht="7.15" customHeight="1">
      <c r="C2111" s="1586" t="s">
        <v>2987</v>
      </c>
      <c r="D2111" s="1586"/>
      <c r="E2111" s="1586"/>
      <c r="F2111" s="1586"/>
      <c r="G2111" s="1586"/>
      <c r="H2111" s="1586"/>
      <c r="I2111" s="1586"/>
      <c r="J2111" s="1586"/>
      <c r="K2111" s="1586"/>
      <c r="L2111" s="1586"/>
      <c r="M2111" s="1586"/>
      <c r="N2111" s="1586"/>
      <c r="O2111" s="1586"/>
      <c r="P2111" s="1586"/>
      <c r="Q2111" s="1586"/>
      <c r="R2111" s="1586"/>
      <c r="S2111" s="1586"/>
      <c r="T2111" s="1586"/>
    </row>
    <row r="2112" spans="1:23" ht="9.6" customHeight="1">
      <c r="A2112" s="1587"/>
      <c r="B2112" s="1587"/>
      <c r="C2112" s="1587"/>
      <c r="D2112" s="1587"/>
      <c r="E2112" s="1587"/>
      <c r="F2112" s="1587"/>
      <c r="G2112" s="1586"/>
      <c r="H2112" s="1586"/>
      <c r="I2112" s="1586"/>
      <c r="J2112" s="1586"/>
      <c r="K2112" s="1586"/>
      <c r="L2112" s="1586"/>
      <c r="M2112" s="1586"/>
      <c r="N2112" s="1586"/>
      <c r="O2112" s="1586"/>
      <c r="P2112" s="1586"/>
      <c r="Q2112" s="1586"/>
      <c r="R2112" s="1586"/>
      <c r="S2112" s="1586"/>
      <c r="T2112" s="1586"/>
    </row>
    <row r="2113" spans="1:23" ht="13.35" customHeight="1">
      <c r="A2113" s="1587"/>
      <c r="B2113" s="1587"/>
      <c r="C2113" s="1587"/>
      <c r="D2113" s="1587"/>
      <c r="E2113" s="1587"/>
      <c r="F2113" s="1587"/>
      <c r="G2113" s="1588" t="s">
        <v>79</v>
      </c>
      <c r="H2113" s="1588"/>
      <c r="I2113" s="1588"/>
      <c r="J2113" s="1588"/>
      <c r="K2113" s="1588"/>
      <c r="L2113" s="1588"/>
      <c r="M2113" s="1588"/>
      <c r="N2113" s="1588"/>
      <c r="O2113" s="1588"/>
      <c r="P2113" s="1588"/>
      <c r="Q2113" s="1588"/>
      <c r="R2113" s="1588"/>
    </row>
    <row r="2114" spans="1:23" ht="5.25" customHeight="1">
      <c r="A2114" s="1587"/>
      <c r="B2114" s="1587"/>
      <c r="C2114" s="1587"/>
      <c r="D2114" s="1587"/>
      <c r="E2114" s="1587"/>
      <c r="F2114" s="1587"/>
      <c r="G2114" s="1581" t="s">
        <v>7015</v>
      </c>
      <c r="H2114" s="1581"/>
      <c r="I2114" s="1581"/>
      <c r="J2114" s="1581"/>
      <c r="K2114" s="1581"/>
      <c r="L2114" s="1581"/>
      <c r="M2114" s="1581"/>
      <c r="N2114" s="1581"/>
      <c r="O2114" s="1581"/>
      <c r="P2114" s="1581"/>
      <c r="Q2114" s="1581"/>
    </row>
    <row r="2115" spans="1:23" ht="8.1" customHeight="1">
      <c r="B2115" s="1580" t="s">
        <v>1916</v>
      </c>
      <c r="C2115" s="1580"/>
      <c r="D2115" s="1580"/>
      <c r="E2115" s="1580"/>
      <c r="F2115" s="1580"/>
      <c r="G2115" s="1580"/>
      <c r="H2115" s="1581"/>
      <c r="I2115" s="1581"/>
      <c r="J2115" s="1581"/>
      <c r="K2115" s="1581"/>
      <c r="L2115" s="1581"/>
      <c r="M2115" s="1581"/>
      <c r="N2115" s="1582" t="s">
        <v>5619</v>
      </c>
      <c r="O2115" s="1582"/>
      <c r="P2115" s="1582"/>
      <c r="Q2115" s="1582"/>
      <c r="R2115" s="1582"/>
      <c r="S2115" s="1582"/>
      <c r="T2115" s="1583" t="s">
        <v>7016</v>
      </c>
      <c r="U2115" s="1583"/>
      <c r="V2115" s="1583"/>
      <c r="W2115" s="1583"/>
    </row>
    <row r="2116" spans="1:23" ht="6" customHeight="1">
      <c r="B2116" s="1580"/>
      <c r="C2116" s="1580"/>
      <c r="D2116" s="1580"/>
      <c r="E2116" s="1580"/>
      <c r="F2116" s="1580"/>
      <c r="G2116" s="1580"/>
      <c r="H2116" s="1584" t="s">
        <v>7017</v>
      </c>
      <c r="I2116" s="1584"/>
      <c r="J2116" s="1584"/>
      <c r="K2116" s="1584"/>
      <c r="L2116" s="1584"/>
      <c r="M2116" s="1584"/>
      <c r="N2116" s="1582"/>
      <c r="O2116" s="1582"/>
      <c r="P2116" s="1582"/>
      <c r="Q2116" s="1582"/>
      <c r="R2116" s="1582"/>
      <c r="S2116" s="1582"/>
      <c r="T2116" s="1583"/>
      <c r="U2116" s="1583"/>
      <c r="V2116" s="1583"/>
      <c r="W2116" s="1583"/>
    </row>
    <row r="2117" spans="1:23" ht="7.35" customHeight="1">
      <c r="B2117" s="1580" t="s">
        <v>1994</v>
      </c>
      <c r="C2117" s="1580"/>
      <c r="D2117" s="1580"/>
      <c r="E2117" s="1585"/>
      <c r="F2117" s="1585"/>
      <c r="G2117" s="1585"/>
      <c r="H2117" s="1585"/>
      <c r="I2117" s="1585"/>
      <c r="J2117" s="1585"/>
      <c r="K2117" s="1585"/>
      <c r="L2117" s="1585"/>
      <c r="M2117" s="1585"/>
      <c r="N2117" s="1585"/>
      <c r="O2117" s="1585"/>
      <c r="P2117" s="1585"/>
      <c r="Q2117" s="1585"/>
      <c r="R2117" s="1582"/>
      <c r="S2117" s="1582"/>
      <c r="T2117" s="1582" t="s">
        <v>7018</v>
      </c>
      <c r="U2117" s="1582"/>
    </row>
    <row r="2118" spans="1:23" ht="6.75" customHeight="1">
      <c r="E2118" s="1585"/>
      <c r="F2118" s="1585"/>
      <c r="G2118" s="1585"/>
      <c r="H2118" s="1585"/>
      <c r="I2118" s="1585"/>
      <c r="J2118" s="1585"/>
      <c r="K2118" s="1585"/>
      <c r="L2118" s="1585"/>
      <c r="M2118" s="1585"/>
      <c r="N2118" s="1585"/>
      <c r="O2118" s="1585"/>
      <c r="P2118" s="1585"/>
      <c r="Q2118" s="1585"/>
      <c r="R2118" s="1582"/>
      <c r="S2118" s="1582"/>
      <c r="T2118" s="1582"/>
      <c r="U2118" s="1582"/>
    </row>
    <row r="2119" spans="1:23" ht="10.9" customHeight="1">
      <c r="A2119" s="1576"/>
      <c r="B2119" s="1576"/>
      <c r="C2119" s="1576"/>
      <c r="D2119" s="1576"/>
      <c r="E2119" s="1576"/>
      <c r="F2119" s="1576"/>
      <c r="G2119" s="1576"/>
      <c r="H2119" s="1576"/>
      <c r="I2119" s="1576"/>
      <c r="J2119" s="1577" t="s">
        <v>1314</v>
      </c>
      <c r="K2119" s="1577"/>
      <c r="L2119" s="1577" t="s">
        <v>1315</v>
      </c>
      <c r="M2119" s="1577"/>
      <c r="N2119" s="1577"/>
      <c r="O2119" s="1577" t="s">
        <v>1316</v>
      </c>
      <c r="P2119" s="1577"/>
      <c r="Q2119" s="1577"/>
      <c r="R2119" s="1577"/>
      <c r="S2119" s="1577"/>
      <c r="T2119" s="1577"/>
      <c r="U2119" s="1577"/>
    </row>
    <row r="2120" spans="1:23" ht="14.1" customHeight="1">
      <c r="A2120" s="1578" t="s">
        <v>1317</v>
      </c>
      <c r="B2120" s="1578"/>
      <c r="C2120" s="1578" t="s">
        <v>1318</v>
      </c>
      <c r="D2120" s="1578"/>
      <c r="E2120" s="1578"/>
      <c r="F2120" s="1578" t="s">
        <v>1319</v>
      </c>
      <c r="G2120" s="1578"/>
      <c r="H2120" s="1578"/>
      <c r="I2120" s="1578"/>
      <c r="J2120" s="1413" t="s">
        <v>1320</v>
      </c>
      <c r="K2120" s="1413" t="s">
        <v>1321</v>
      </c>
      <c r="L2120" s="1413" t="s">
        <v>1320</v>
      </c>
      <c r="M2120" s="1579" t="s">
        <v>1321</v>
      </c>
      <c r="N2120" s="1579"/>
      <c r="O2120" s="1579" t="s">
        <v>1320</v>
      </c>
      <c r="P2120" s="1579"/>
      <c r="Q2120" s="1579" t="s">
        <v>1321</v>
      </c>
      <c r="R2120" s="1579"/>
      <c r="S2120" s="1579"/>
      <c r="T2120" s="1579"/>
      <c r="U2120" s="1579"/>
    </row>
    <row r="2121" spans="1:23" ht="22.5" customHeight="1">
      <c r="A2121" s="1574" t="s">
        <v>1322</v>
      </c>
      <c r="B2121" s="1574"/>
      <c r="C2121" s="1574" t="s">
        <v>2806</v>
      </c>
      <c r="D2121" s="1574"/>
      <c r="E2121" s="1574"/>
      <c r="F2121" s="1574" t="s">
        <v>2402</v>
      </c>
      <c r="G2121" s="1574"/>
      <c r="H2121" s="1574"/>
      <c r="I2121" s="1574"/>
      <c r="J2121" s="1412">
        <v>235939.20000000001</v>
      </c>
      <c r="K2121" s="1412">
        <v>0</v>
      </c>
      <c r="L2121" s="1412">
        <v>21508.799999999999</v>
      </c>
      <c r="M2121" s="1575">
        <v>0</v>
      </c>
      <c r="N2121" s="1575"/>
      <c r="O2121" s="1575">
        <v>257448</v>
      </c>
      <c r="P2121" s="1575"/>
      <c r="Q2121" s="1575">
        <v>0</v>
      </c>
      <c r="R2121" s="1575"/>
      <c r="S2121" s="1575"/>
      <c r="T2121" s="1575"/>
      <c r="U2121" s="1575"/>
    </row>
    <row r="2122" spans="1:23" ht="19.149999999999999" customHeight="1">
      <c r="A2122" s="1574" t="s">
        <v>1322</v>
      </c>
      <c r="B2122" s="1574"/>
      <c r="C2122" s="1574" t="s">
        <v>3345</v>
      </c>
      <c r="D2122" s="1574"/>
      <c r="E2122" s="1574"/>
      <c r="F2122" s="1574" t="s">
        <v>2462</v>
      </c>
      <c r="G2122" s="1574"/>
      <c r="H2122" s="1574"/>
      <c r="I2122" s="1574"/>
      <c r="J2122" s="1412">
        <v>69885.14</v>
      </c>
      <c r="K2122" s="1412">
        <v>0</v>
      </c>
      <c r="L2122" s="1412">
        <v>5926.07</v>
      </c>
      <c r="M2122" s="1575">
        <v>0</v>
      </c>
      <c r="N2122" s="1575"/>
      <c r="O2122" s="1575">
        <v>75811.210000000006</v>
      </c>
      <c r="P2122" s="1575"/>
      <c r="Q2122" s="1575">
        <v>0</v>
      </c>
      <c r="R2122" s="1575"/>
      <c r="S2122" s="1575"/>
      <c r="T2122" s="1575"/>
      <c r="U2122" s="1575"/>
    </row>
    <row r="2123" spans="1:23" ht="19.149999999999999" customHeight="1">
      <c r="A2123" s="1574" t="s">
        <v>1322</v>
      </c>
      <c r="B2123" s="1574"/>
      <c r="C2123" s="1574" t="s">
        <v>5866</v>
      </c>
      <c r="D2123" s="1574"/>
      <c r="E2123" s="1574"/>
      <c r="F2123" s="1574" t="s">
        <v>2464</v>
      </c>
      <c r="G2123" s="1574"/>
      <c r="H2123" s="1574"/>
      <c r="I2123" s="1574"/>
      <c r="J2123" s="1412">
        <v>98112.33</v>
      </c>
      <c r="K2123" s="1412">
        <v>0</v>
      </c>
      <c r="L2123" s="1412">
        <v>0</v>
      </c>
      <c r="M2123" s="1575">
        <v>0</v>
      </c>
      <c r="N2123" s="1575"/>
      <c r="O2123" s="1575">
        <v>98112.33</v>
      </c>
      <c r="P2123" s="1575"/>
      <c r="Q2123" s="1575">
        <v>0</v>
      </c>
      <c r="R2123" s="1575"/>
      <c r="S2123" s="1575"/>
      <c r="T2123" s="1575"/>
      <c r="U2123" s="1575"/>
    </row>
    <row r="2124" spans="1:23" ht="19.149999999999999" customHeight="1">
      <c r="A2124" s="1574" t="s">
        <v>1322</v>
      </c>
      <c r="B2124" s="1574"/>
      <c r="C2124" s="1574" t="s">
        <v>5867</v>
      </c>
      <c r="D2124" s="1574"/>
      <c r="E2124" s="1574"/>
      <c r="F2124" s="1574" t="s">
        <v>2466</v>
      </c>
      <c r="G2124" s="1574"/>
      <c r="H2124" s="1574"/>
      <c r="I2124" s="1574"/>
      <c r="J2124" s="1412">
        <v>56523.9</v>
      </c>
      <c r="K2124" s="1412">
        <v>0</v>
      </c>
      <c r="L2124" s="1412">
        <v>8564</v>
      </c>
      <c r="M2124" s="1575">
        <v>0</v>
      </c>
      <c r="N2124" s="1575"/>
      <c r="O2124" s="1575">
        <v>65087.9</v>
      </c>
      <c r="P2124" s="1575"/>
      <c r="Q2124" s="1575">
        <v>0</v>
      </c>
      <c r="R2124" s="1575"/>
      <c r="S2124" s="1575"/>
      <c r="T2124" s="1575"/>
      <c r="U2124" s="1575"/>
    </row>
    <row r="2125" spans="1:23" ht="19.149999999999999" customHeight="1">
      <c r="A2125" s="1574" t="s">
        <v>1322</v>
      </c>
      <c r="B2125" s="1574"/>
      <c r="C2125" s="1574" t="s">
        <v>3346</v>
      </c>
      <c r="D2125" s="1574"/>
      <c r="E2125" s="1574"/>
      <c r="F2125" s="1574" t="s">
        <v>2468</v>
      </c>
      <c r="G2125" s="1574"/>
      <c r="H2125" s="1574"/>
      <c r="I2125" s="1574"/>
      <c r="J2125" s="1412">
        <v>45816.25</v>
      </c>
      <c r="K2125" s="1412">
        <v>0</v>
      </c>
      <c r="L2125" s="1412">
        <v>2586.8000000000002</v>
      </c>
      <c r="M2125" s="1575">
        <v>0</v>
      </c>
      <c r="N2125" s="1575"/>
      <c r="O2125" s="1575">
        <v>48403.05</v>
      </c>
      <c r="P2125" s="1575"/>
      <c r="Q2125" s="1575">
        <v>0</v>
      </c>
      <c r="R2125" s="1575"/>
      <c r="S2125" s="1575"/>
      <c r="T2125" s="1575"/>
      <c r="U2125" s="1575"/>
    </row>
    <row r="2126" spans="1:23" ht="19.149999999999999" customHeight="1">
      <c r="A2126" s="1574" t="s">
        <v>1322</v>
      </c>
      <c r="B2126" s="1574"/>
      <c r="C2126" s="1574" t="s">
        <v>6683</v>
      </c>
      <c r="D2126" s="1574"/>
      <c r="E2126" s="1574"/>
      <c r="F2126" s="1574" t="s">
        <v>2470</v>
      </c>
      <c r="G2126" s="1574"/>
      <c r="H2126" s="1574"/>
      <c r="I2126" s="1574"/>
      <c r="J2126" s="1412">
        <v>833.18</v>
      </c>
      <c r="K2126" s="1412">
        <v>0</v>
      </c>
      <c r="L2126" s="1412">
        <v>0</v>
      </c>
      <c r="M2126" s="1575">
        <v>0</v>
      </c>
      <c r="N2126" s="1575"/>
      <c r="O2126" s="1575">
        <v>833.18</v>
      </c>
      <c r="P2126" s="1575"/>
      <c r="Q2126" s="1575">
        <v>0</v>
      </c>
      <c r="R2126" s="1575"/>
      <c r="S2126" s="1575"/>
      <c r="T2126" s="1575"/>
      <c r="U2126" s="1575"/>
    </row>
    <row r="2127" spans="1:23" ht="19.149999999999999" customHeight="1">
      <c r="A2127" s="1574" t="s">
        <v>1322</v>
      </c>
      <c r="B2127" s="1574"/>
      <c r="C2127" s="1574" t="s">
        <v>2807</v>
      </c>
      <c r="D2127" s="1574"/>
      <c r="E2127" s="1574"/>
      <c r="F2127" s="1574" t="s">
        <v>2416</v>
      </c>
      <c r="G2127" s="1574"/>
      <c r="H2127" s="1574"/>
      <c r="I2127" s="1574"/>
      <c r="J2127" s="1412">
        <v>47946.8</v>
      </c>
      <c r="K2127" s="1412">
        <v>0</v>
      </c>
      <c r="L2127" s="1412">
        <v>11540.1</v>
      </c>
      <c r="M2127" s="1575">
        <v>0</v>
      </c>
      <c r="N2127" s="1575"/>
      <c r="O2127" s="1575">
        <v>59486.9</v>
      </c>
      <c r="P2127" s="1575"/>
      <c r="Q2127" s="1575">
        <v>0</v>
      </c>
      <c r="R2127" s="1575"/>
      <c r="S2127" s="1575"/>
      <c r="T2127" s="1575"/>
      <c r="U2127" s="1575"/>
    </row>
    <row r="2128" spans="1:23" ht="19.149999999999999" customHeight="1">
      <c r="A2128" s="1574" t="s">
        <v>1322</v>
      </c>
      <c r="B2128" s="1574"/>
      <c r="C2128" s="1574" t="s">
        <v>2808</v>
      </c>
      <c r="D2128" s="1574"/>
      <c r="E2128" s="1574"/>
      <c r="F2128" s="1574" t="s">
        <v>2418</v>
      </c>
      <c r="G2128" s="1574"/>
      <c r="H2128" s="1574"/>
      <c r="I2128" s="1574"/>
      <c r="J2128" s="1412">
        <v>344449.24</v>
      </c>
      <c r="K2128" s="1412">
        <v>0</v>
      </c>
      <c r="L2128" s="1412">
        <v>36630.99</v>
      </c>
      <c r="M2128" s="1575">
        <v>0</v>
      </c>
      <c r="N2128" s="1575"/>
      <c r="O2128" s="1575">
        <v>381080.23</v>
      </c>
      <c r="P2128" s="1575"/>
      <c r="Q2128" s="1575">
        <v>0</v>
      </c>
      <c r="R2128" s="1575"/>
      <c r="S2128" s="1575"/>
      <c r="T2128" s="1575"/>
      <c r="U2128" s="1575"/>
    </row>
    <row r="2129" spans="1:21" ht="19.149999999999999" customHeight="1">
      <c r="A2129" s="1574" t="s">
        <v>1322</v>
      </c>
      <c r="B2129" s="1574"/>
      <c r="C2129" s="1574" t="s">
        <v>5868</v>
      </c>
      <c r="D2129" s="1574"/>
      <c r="E2129" s="1574"/>
      <c r="F2129" s="1574" t="s">
        <v>2474</v>
      </c>
      <c r="G2129" s="1574"/>
      <c r="H2129" s="1574"/>
      <c r="I2129" s="1574"/>
      <c r="J2129" s="1412">
        <v>14007</v>
      </c>
      <c r="K2129" s="1412">
        <v>0</v>
      </c>
      <c r="L2129" s="1412">
        <v>4793.03</v>
      </c>
      <c r="M2129" s="1575">
        <v>0</v>
      </c>
      <c r="N2129" s="1575"/>
      <c r="O2129" s="1575">
        <v>18800.03</v>
      </c>
      <c r="P2129" s="1575"/>
      <c r="Q2129" s="1575">
        <v>0</v>
      </c>
      <c r="R2129" s="1575"/>
      <c r="S2129" s="1575"/>
      <c r="T2129" s="1575"/>
      <c r="U2129" s="1575"/>
    </row>
    <row r="2130" spans="1:21" ht="19.149999999999999" customHeight="1">
      <c r="A2130" s="1574" t="s">
        <v>1322</v>
      </c>
      <c r="B2130" s="1574"/>
      <c r="C2130" s="1574" t="s">
        <v>3347</v>
      </c>
      <c r="D2130" s="1574"/>
      <c r="E2130" s="1574"/>
      <c r="F2130" s="1574" t="s">
        <v>2476</v>
      </c>
      <c r="G2130" s="1574"/>
      <c r="H2130" s="1574"/>
      <c r="I2130" s="1574"/>
      <c r="J2130" s="1412">
        <v>222882.4</v>
      </c>
      <c r="K2130" s="1412">
        <v>0</v>
      </c>
      <c r="L2130" s="1412">
        <v>74199.78</v>
      </c>
      <c r="M2130" s="1575">
        <v>0</v>
      </c>
      <c r="N2130" s="1575"/>
      <c r="O2130" s="1575">
        <v>297082.18</v>
      </c>
      <c r="P2130" s="1575"/>
      <c r="Q2130" s="1575">
        <v>0</v>
      </c>
      <c r="R2130" s="1575"/>
      <c r="S2130" s="1575"/>
      <c r="T2130" s="1575"/>
      <c r="U2130" s="1575"/>
    </row>
    <row r="2131" spans="1:21" ht="19.149999999999999" customHeight="1">
      <c r="A2131" s="1574" t="s">
        <v>1322</v>
      </c>
      <c r="B2131" s="1574"/>
      <c r="C2131" s="1574" t="s">
        <v>4027</v>
      </c>
      <c r="D2131" s="1574"/>
      <c r="E2131" s="1574"/>
      <c r="F2131" s="1574" t="s">
        <v>2478</v>
      </c>
      <c r="G2131" s="1574"/>
      <c r="H2131" s="1574"/>
      <c r="I2131" s="1574"/>
      <c r="J2131" s="1412">
        <v>4547.4399999999996</v>
      </c>
      <c r="K2131" s="1412">
        <v>0</v>
      </c>
      <c r="L2131" s="1412">
        <v>0</v>
      </c>
      <c r="M2131" s="1575">
        <v>0</v>
      </c>
      <c r="N2131" s="1575"/>
      <c r="O2131" s="1575">
        <v>4547.4399999999996</v>
      </c>
      <c r="P2131" s="1575"/>
      <c r="Q2131" s="1575">
        <v>0</v>
      </c>
      <c r="R2131" s="1575"/>
      <c r="S2131" s="1575"/>
      <c r="T2131" s="1575"/>
      <c r="U2131" s="1575"/>
    </row>
    <row r="2132" spans="1:21" ht="19.149999999999999" customHeight="1">
      <c r="A2132" s="1574" t="s">
        <v>1322</v>
      </c>
      <c r="B2132" s="1574"/>
      <c r="C2132" s="1574" t="s">
        <v>5869</v>
      </c>
      <c r="D2132" s="1574"/>
      <c r="E2132" s="1574"/>
      <c r="F2132" s="1574" t="s">
        <v>2482</v>
      </c>
      <c r="G2132" s="1574"/>
      <c r="H2132" s="1574"/>
      <c r="I2132" s="1574"/>
      <c r="J2132" s="1412">
        <v>33000</v>
      </c>
      <c r="K2132" s="1412">
        <v>0</v>
      </c>
      <c r="L2132" s="1412">
        <v>3150</v>
      </c>
      <c r="M2132" s="1575">
        <v>0</v>
      </c>
      <c r="N2132" s="1575"/>
      <c r="O2132" s="1575">
        <v>36150</v>
      </c>
      <c r="P2132" s="1575"/>
      <c r="Q2132" s="1575">
        <v>0</v>
      </c>
      <c r="R2132" s="1575"/>
      <c r="S2132" s="1575"/>
      <c r="T2132" s="1575"/>
      <c r="U2132" s="1575"/>
    </row>
    <row r="2133" spans="1:21" ht="19.149999999999999" customHeight="1">
      <c r="A2133" s="1574" t="s">
        <v>1322</v>
      </c>
      <c r="B2133" s="1574"/>
      <c r="C2133" s="1574" t="s">
        <v>6205</v>
      </c>
      <c r="D2133" s="1574"/>
      <c r="E2133" s="1574"/>
      <c r="F2133" s="1574" t="s">
        <v>2484</v>
      </c>
      <c r="G2133" s="1574"/>
      <c r="H2133" s="1574"/>
      <c r="I2133" s="1574"/>
      <c r="J2133" s="1412">
        <v>125112</v>
      </c>
      <c r="K2133" s="1412">
        <v>0</v>
      </c>
      <c r="L2133" s="1412">
        <v>0</v>
      </c>
      <c r="M2133" s="1575">
        <v>0</v>
      </c>
      <c r="N2133" s="1575"/>
      <c r="O2133" s="1575">
        <v>125112</v>
      </c>
      <c r="P2133" s="1575"/>
      <c r="Q2133" s="1575">
        <v>0</v>
      </c>
      <c r="R2133" s="1575"/>
      <c r="S2133" s="1575"/>
      <c r="T2133" s="1575"/>
      <c r="U2133" s="1575"/>
    </row>
    <row r="2134" spans="1:21" ht="19.149999999999999" customHeight="1">
      <c r="A2134" s="1574" t="s">
        <v>1322</v>
      </c>
      <c r="B2134" s="1574"/>
      <c r="C2134" s="1574" t="s">
        <v>2809</v>
      </c>
      <c r="D2134" s="1574"/>
      <c r="E2134" s="1574"/>
      <c r="F2134" s="1574" t="s">
        <v>2486</v>
      </c>
      <c r="G2134" s="1574"/>
      <c r="H2134" s="1574"/>
      <c r="I2134" s="1574"/>
      <c r="J2134" s="1412">
        <v>187541.14</v>
      </c>
      <c r="K2134" s="1412">
        <v>0</v>
      </c>
      <c r="L2134" s="1412">
        <v>20972.55</v>
      </c>
      <c r="M2134" s="1575">
        <v>0</v>
      </c>
      <c r="N2134" s="1575"/>
      <c r="O2134" s="1575">
        <v>208513.69</v>
      </c>
      <c r="P2134" s="1575"/>
      <c r="Q2134" s="1575">
        <v>0</v>
      </c>
      <c r="R2134" s="1575"/>
      <c r="S2134" s="1575"/>
      <c r="T2134" s="1575"/>
      <c r="U2134" s="1575"/>
    </row>
    <row r="2135" spans="1:21" ht="19.149999999999999" customHeight="1">
      <c r="A2135" s="1574" t="s">
        <v>1322</v>
      </c>
      <c r="B2135" s="1574"/>
      <c r="C2135" s="1574" t="s">
        <v>2810</v>
      </c>
      <c r="D2135" s="1574"/>
      <c r="E2135" s="1574"/>
      <c r="F2135" s="1574" t="s">
        <v>2488</v>
      </c>
      <c r="G2135" s="1574"/>
      <c r="H2135" s="1574"/>
      <c r="I2135" s="1574"/>
      <c r="J2135" s="1412">
        <v>26814.720000000001</v>
      </c>
      <c r="K2135" s="1412">
        <v>0</v>
      </c>
      <c r="L2135" s="1412">
        <v>689.66</v>
      </c>
      <c r="M2135" s="1575">
        <v>0</v>
      </c>
      <c r="N2135" s="1575"/>
      <c r="O2135" s="1575">
        <v>27504.38</v>
      </c>
      <c r="P2135" s="1575"/>
      <c r="Q2135" s="1575">
        <v>0</v>
      </c>
      <c r="R2135" s="1575"/>
      <c r="S2135" s="1575"/>
      <c r="T2135" s="1575"/>
      <c r="U2135" s="1575"/>
    </row>
    <row r="2136" spans="1:21" ht="19.149999999999999" customHeight="1">
      <c r="A2136" s="1574" t="s">
        <v>1322</v>
      </c>
      <c r="B2136" s="1574"/>
      <c r="C2136" s="1574" t="s">
        <v>2811</v>
      </c>
      <c r="D2136" s="1574"/>
      <c r="E2136" s="1574"/>
      <c r="F2136" s="1574" t="s">
        <v>2490</v>
      </c>
      <c r="G2136" s="1574"/>
      <c r="H2136" s="1574"/>
      <c r="I2136" s="1574"/>
      <c r="J2136" s="1412">
        <v>38140.449999999997</v>
      </c>
      <c r="K2136" s="1412">
        <v>0</v>
      </c>
      <c r="L2136" s="1412">
        <v>2925</v>
      </c>
      <c r="M2136" s="1575">
        <v>0</v>
      </c>
      <c r="N2136" s="1575"/>
      <c r="O2136" s="1575">
        <v>41065.449999999997</v>
      </c>
      <c r="P2136" s="1575"/>
      <c r="Q2136" s="1575">
        <v>0</v>
      </c>
      <c r="R2136" s="1575"/>
      <c r="S2136" s="1575"/>
      <c r="T2136" s="1575"/>
      <c r="U2136" s="1575"/>
    </row>
    <row r="2137" spans="1:21" ht="19.149999999999999" customHeight="1">
      <c r="A2137" s="1574" t="s">
        <v>1322</v>
      </c>
      <c r="B2137" s="1574"/>
      <c r="C2137" s="1574" t="s">
        <v>2812</v>
      </c>
      <c r="D2137" s="1574"/>
      <c r="E2137" s="1574"/>
      <c r="F2137" s="1574" t="s">
        <v>2421</v>
      </c>
      <c r="G2137" s="1574"/>
      <c r="H2137" s="1574"/>
      <c r="I2137" s="1574"/>
      <c r="J2137" s="1412">
        <v>103414.44</v>
      </c>
      <c r="K2137" s="1412">
        <v>0</v>
      </c>
      <c r="L2137" s="1412">
        <v>7768.56</v>
      </c>
      <c r="M2137" s="1575">
        <v>0</v>
      </c>
      <c r="N2137" s="1575"/>
      <c r="O2137" s="1575">
        <v>111183</v>
      </c>
      <c r="P2137" s="1575"/>
      <c r="Q2137" s="1575">
        <v>0</v>
      </c>
      <c r="R2137" s="1575"/>
      <c r="S2137" s="1575"/>
      <c r="T2137" s="1575"/>
      <c r="U2137" s="1575"/>
    </row>
    <row r="2138" spans="1:21" ht="19.149999999999999" customHeight="1">
      <c r="A2138" s="1574" t="s">
        <v>1322</v>
      </c>
      <c r="B2138" s="1574"/>
      <c r="C2138" s="1574" t="s">
        <v>5992</v>
      </c>
      <c r="D2138" s="1574"/>
      <c r="E2138" s="1574"/>
      <c r="F2138" s="1574" t="s">
        <v>2493</v>
      </c>
      <c r="G2138" s="1574"/>
      <c r="H2138" s="1574"/>
      <c r="I2138" s="1574"/>
      <c r="J2138" s="1412">
        <v>4406.7700000000004</v>
      </c>
      <c r="K2138" s="1412">
        <v>0</v>
      </c>
      <c r="L2138" s="1412">
        <v>2213.6999999999998</v>
      </c>
      <c r="M2138" s="1575">
        <v>0</v>
      </c>
      <c r="N2138" s="1575"/>
      <c r="O2138" s="1575">
        <v>6620.47</v>
      </c>
      <c r="P2138" s="1575"/>
      <c r="Q2138" s="1575">
        <v>0</v>
      </c>
      <c r="R2138" s="1575"/>
      <c r="S2138" s="1575"/>
      <c r="T2138" s="1575"/>
      <c r="U2138" s="1575"/>
    </row>
    <row r="2139" spans="1:21" ht="19.149999999999999" customHeight="1">
      <c r="A2139" s="1574" t="s">
        <v>1322</v>
      </c>
      <c r="B2139" s="1574"/>
      <c r="C2139" s="1574" t="s">
        <v>3348</v>
      </c>
      <c r="D2139" s="1574"/>
      <c r="E2139" s="1574"/>
      <c r="F2139" s="1574" t="s">
        <v>2423</v>
      </c>
      <c r="G2139" s="1574"/>
      <c r="H2139" s="1574"/>
      <c r="I2139" s="1574"/>
      <c r="J2139" s="1412">
        <v>140676.1</v>
      </c>
      <c r="K2139" s="1412">
        <v>0</v>
      </c>
      <c r="L2139" s="1412">
        <v>3850.98</v>
      </c>
      <c r="M2139" s="1575">
        <v>0</v>
      </c>
      <c r="N2139" s="1575"/>
      <c r="O2139" s="1575">
        <v>144527.07999999999</v>
      </c>
      <c r="P2139" s="1575"/>
      <c r="Q2139" s="1575">
        <v>0</v>
      </c>
      <c r="R2139" s="1575"/>
      <c r="S2139" s="1575"/>
      <c r="T2139" s="1575"/>
      <c r="U2139" s="1575"/>
    </row>
    <row r="2140" spans="1:21" ht="19.149999999999999" customHeight="1">
      <c r="A2140" s="1574" t="s">
        <v>1322</v>
      </c>
      <c r="B2140" s="1574"/>
      <c r="C2140" s="1574" t="s">
        <v>6476</v>
      </c>
      <c r="D2140" s="1574"/>
      <c r="E2140" s="1574"/>
      <c r="F2140" s="1574" t="s">
        <v>2496</v>
      </c>
      <c r="G2140" s="1574"/>
      <c r="H2140" s="1574"/>
      <c r="I2140" s="1574"/>
      <c r="J2140" s="1412">
        <v>4000</v>
      </c>
      <c r="K2140" s="1412">
        <v>0</v>
      </c>
      <c r="L2140" s="1412">
        <v>0</v>
      </c>
      <c r="M2140" s="1575">
        <v>0</v>
      </c>
      <c r="N2140" s="1575"/>
      <c r="O2140" s="1575">
        <v>4000</v>
      </c>
      <c r="P2140" s="1575"/>
      <c r="Q2140" s="1575">
        <v>0</v>
      </c>
      <c r="R2140" s="1575"/>
      <c r="S2140" s="1575"/>
      <c r="T2140" s="1575"/>
      <c r="U2140" s="1575"/>
    </row>
    <row r="2141" spans="1:21" ht="19.149999999999999" customHeight="1">
      <c r="A2141" s="1574" t="s">
        <v>1322</v>
      </c>
      <c r="B2141" s="1574"/>
      <c r="C2141" s="1574" t="s">
        <v>5870</v>
      </c>
      <c r="D2141" s="1574"/>
      <c r="E2141" s="1574"/>
      <c r="F2141" s="1574" t="s">
        <v>2498</v>
      </c>
      <c r="G2141" s="1574"/>
      <c r="H2141" s="1574"/>
      <c r="I2141" s="1574"/>
      <c r="J2141" s="1412">
        <v>119834.42</v>
      </c>
      <c r="K2141" s="1412">
        <v>0</v>
      </c>
      <c r="L2141" s="1412">
        <v>250</v>
      </c>
      <c r="M2141" s="1575">
        <v>0</v>
      </c>
      <c r="N2141" s="1575"/>
      <c r="O2141" s="1575">
        <v>120084.42</v>
      </c>
      <c r="P2141" s="1575"/>
      <c r="Q2141" s="1575">
        <v>0</v>
      </c>
      <c r="R2141" s="1575"/>
      <c r="S2141" s="1575"/>
      <c r="T2141" s="1575"/>
      <c r="U2141" s="1575"/>
    </row>
    <row r="2142" spans="1:21" ht="19.149999999999999" customHeight="1">
      <c r="A2142" s="1574" t="s">
        <v>1322</v>
      </c>
      <c r="B2142" s="1574"/>
      <c r="C2142" s="1574" t="s">
        <v>2813</v>
      </c>
      <c r="D2142" s="1574"/>
      <c r="E2142" s="1574"/>
      <c r="F2142" s="1574" t="s">
        <v>2500</v>
      </c>
      <c r="G2142" s="1574"/>
      <c r="H2142" s="1574"/>
      <c r="I2142" s="1574"/>
      <c r="J2142" s="1412">
        <v>120040.25</v>
      </c>
      <c r="K2142" s="1412">
        <v>0</v>
      </c>
      <c r="L2142" s="1412">
        <v>16731.84</v>
      </c>
      <c r="M2142" s="1575">
        <v>0</v>
      </c>
      <c r="N2142" s="1575"/>
      <c r="O2142" s="1575">
        <v>136772.09</v>
      </c>
      <c r="P2142" s="1575"/>
      <c r="Q2142" s="1575">
        <v>0</v>
      </c>
      <c r="R2142" s="1575"/>
      <c r="S2142" s="1575"/>
      <c r="T2142" s="1575"/>
      <c r="U2142" s="1575"/>
    </row>
    <row r="2143" spans="1:21" ht="19.149999999999999" customHeight="1">
      <c r="A2143" s="1574" t="s">
        <v>1322</v>
      </c>
      <c r="B2143" s="1574"/>
      <c r="C2143" s="1574" t="s">
        <v>2814</v>
      </c>
      <c r="D2143" s="1574"/>
      <c r="E2143" s="1574"/>
      <c r="F2143" s="1574" t="s">
        <v>2502</v>
      </c>
      <c r="G2143" s="1574"/>
      <c r="H2143" s="1574"/>
      <c r="I2143" s="1574"/>
      <c r="J2143" s="1412">
        <v>3230723.19</v>
      </c>
      <c r="K2143" s="1412">
        <v>0</v>
      </c>
      <c r="L2143" s="1412">
        <v>154247.09</v>
      </c>
      <c r="M2143" s="1575">
        <v>0</v>
      </c>
      <c r="N2143" s="1575"/>
      <c r="O2143" s="1575">
        <v>3384970.28</v>
      </c>
      <c r="P2143" s="1575"/>
      <c r="Q2143" s="1575">
        <v>0</v>
      </c>
      <c r="R2143" s="1575"/>
      <c r="S2143" s="1575"/>
      <c r="T2143" s="1575"/>
      <c r="U2143" s="1575"/>
    </row>
    <row r="2144" spans="1:21" ht="6.95" customHeight="1"/>
    <row r="2145" spans="1:23" ht="14.1" customHeight="1">
      <c r="S2145" s="1573" t="s">
        <v>7074</v>
      </c>
      <c r="T2145" s="1573"/>
      <c r="U2145" s="1573"/>
      <c r="V2145" s="1573"/>
      <c r="W2145" s="1573"/>
    </row>
    <row r="2146" spans="1:23" ht="7.15" customHeight="1">
      <c r="C2146" s="1586" t="s">
        <v>2987</v>
      </c>
      <c r="D2146" s="1586"/>
      <c r="E2146" s="1586"/>
      <c r="F2146" s="1586"/>
      <c r="G2146" s="1586"/>
      <c r="H2146" s="1586"/>
      <c r="I2146" s="1586"/>
      <c r="J2146" s="1586"/>
      <c r="K2146" s="1586"/>
      <c r="L2146" s="1586"/>
      <c r="M2146" s="1586"/>
      <c r="N2146" s="1586"/>
      <c r="O2146" s="1586"/>
      <c r="P2146" s="1586"/>
      <c r="Q2146" s="1586"/>
      <c r="R2146" s="1586"/>
      <c r="S2146" s="1586"/>
      <c r="T2146" s="1586"/>
    </row>
    <row r="2147" spans="1:23" ht="9.6" customHeight="1">
      <c r="A2147" s="1587"/>
      <c r="B2147" s="1587"/>
      <c r="C2147" s="1587"/>
      <c r="D2147" s="1587"/>
      <c r="E2147" s="1587"/>
      <c r="F2147" s="1587"/>
      <c r="G2147" s="1586"/>
      <c r="H2147" s="1586"/>
      <c r="I2147" s="1586"/>
      <c r="J2147" s="1586"/>
      <c r="K2147" s="1586"/>
      <c r="L2147" s="1586"/>
      <c r="M2147" s="1586"/>
      <c r="N2147" s="1586"/>
      <c r="O2147" s="1586"/>
      <c r="P2147" s="1586"/>
      <c r="Q2147" s="1586"/>
      <c r="R2147" s="1586"/>
      <c r="S2147" s="1586"/>
      <c r="T2147" s="1586"/>
    </row>
    <row r="2148" spans="1:23" ht="13.35" customHeight="1">
      <c r="A2148" s="1587"/>
      <c r="B2148" s="1587"/>
      <c r="C2148" s="1587"/>
      <c r="D2148" s="1587"/>
      <c r="E2148" s="1587"/>
      <c r="F2148" s="1587"/>
      <c r="G2148" s="1588" t="s">
        <v>79</v>
      </c>
      <c r="H2148" s="1588"/>
      <c r="I2148" s="1588"/>
      <c r="J2148" s="1588"/>
      <c r="K2148" s="1588"/>
      <c r="L2148" s="1588"/>
      <c r="M2148" s="1588"/>
      <c r="N2148" s="1588"/>
      <c r="O2148" s="1588"/>
      <c r="P2148" s="1588"/>
      <c r="Q2148" s="1588"/>
      <c r="R2148" s="1588"/>
    </row>
    <row r="2149" spans="1:23" ht="5.25" customHeight="1">
      <c r="A2149" s="1587"/>
      <c r="B2149" s="1587"/>
      <c r="C2149" s="1587"/>
      <c r="D2149" s="1587"/>
      <c r="E2149" s="1587"/>
      <c r="F2149" s="1587"/>
      <c r="G2149" s="1581" t="s">
        <v>7015</v>
      </c>
      <c r="H2149" s="1581"/>
      <c r="I2149" s="1581"/>
      <c r="J2149" s="1581"/>
      <c r="K2149" s="1581"/>
      <c r="L2149" s="1581"/>
      <c r="M2149" s="1581"/>
      <c r="N2149" s="1581"/>
      <c r="O2149" s="1581"/>
      <c r="P2149" s="1581"/>
      <c r="Q2149" s="1581"/>
    </row>
    <row r="2150" spans="1:23" ht="8.1" customHeight="1">
      <c r="B2150" s="1580" t="s">
        <v>1916</v>
      </c>
      <c r="C2150" s="1580"/>
      <c r="D2150" s="1580"/>
      <c r="E2150" s="1580"/>
      <c r="F2150" s="1580"/>
      <c r="G2150" s="1580"/>
      <c r="H2150" s="1581"/>
      <c r="I2150" s="1581"/>
      <c r="J2150" s="1581"/>
      <c r="K2150" s="1581"/>
      <c r="L2150" s="1581"/>
      <c r="M2150" s="1581"/>
      <c r="N2150" s="1582" t="s">
        <v>5619</v>
      </c>
      <c r="O2150" s="1582"/>
      <c r="P2150" s="1582"/>
      <c r="Q2150" s="1582"/>
      <c r="R2150" s="1582"/>
      <c r="S2150" s="1582"/>
      <c r="T2150" s="1583" t="s">
        <v>7016</v>
      </c>
      <c r="U2150" s="1583"/>
      <c r="V2150" s="1583"/>
      <c r="W2150" s="1583"/>
    </row>
    <row r="2151" spans="1:23" ht="6" customHeight="1">
      <c r="B2151" s="1580"/>
      <c r="C2151" s="1580"/>
      <c r="D2151" s="1580"/>
      <c r="E2151" s="1580"/>
      <c r="F2151" s="1580"/>
      <c r="G2151" s="1580"/>
      <c r="H2151" s="1584" t="s">
        <v>7017</v>
      </c>
      <c r="I2151" s="1584"/>
      <c r="J2151" s="1584"/>
      <c r="K2151" s="1584"/>
      <c r="L2151" s="1584"/>
      <c r="M2151" s="1584"/>
      <c r="N2151" s="1582"/>
      <c r="O2151" s="1582"/>
      <c r="P2151" s="1582"/>
      <c r="Q2151" s="1582"/>
      <c r="R2151" s="1582"/>
      <c r="S2151" s="1582"/>
      <c r="T2151" s="1583"/>
      <c r="U2151" s="1583"/>
      <c r="V2151" s="1583"/>
      <c r="W2151" s="1583"/>
    </row>
    <row r="2152" spans="1:23" ht="7.35" customHeight="1">
      <c r="B2152" s="1580" t="s">
        <v>1994</v>
      </c>
      <c r="C2152" s="1580"/>
      <c r="D2152" s="1580"/>
      <c r="E2152" s="1585"/>
      <c r="F2152" s="1585"/>
      <c r="G2152" s="1585"/>
      <c r="H2152" s="1585"/>
      <c r="I2152" s="1585"/>
      <c r="J2152" s="1585"/>
      <c r="K2152" s="1585"/>
      <c r="L2152" s="1585"/>
      <c r="M2152" s="1585"/>
      <c r="N2152" s="1585"/>
      <c r="O2152" s="1585"/>
      <c r="P2152" s="1585"/>
      <c r="Q2152" s="1585"/>
      <c r="R2152" s="1582"/>
      <c r="S2152" s="1582"/>
      <c r="T2152" s="1582" t="s">
        <v>7018</v>
      </c>
      <c r="U2152" s="1582"/>
    </row>
    <row r="2153" spans="1:23" ht="6.75" customHeight="1">
      <c r="E2153" s="1585"/>
      <c r="F2153" s="1585"/>
      <c r="G2153" s="1585"/>
      <c r="H2153" s="1585"/>
      <c r="I2153" s="1585"/>
      <c r="J2153" s="1585"/>
      <c r="K2153" s="1585"/>
      <c r="L2153" s="1585"/>
      <c r="M2153" s="1585"/>
      <c r="N2153" s="1585"/>
      <c r="O2153" s="1585"/>
      <c r="P2153" s="1585"/>
      <c r="Q2153" s="1585"/>
      <c r="R2153" s="1582"/>
      <c r="S2153" s="1582"/>
      <c r="T2153" s="1582"/>
      <c r="U2153" s="1582"/>
    </row>
    <row r="2154" spans="1:23" ht="10.9" customHeight="1">
      <c r="A2154" s="1576"/>
      <c r="B2154" s="1576"/>
      <c r="C2154" s="1576"/>
      <c r="D2154" s="1576"/>
      <c r="E2154" s="1576"/>
      <c r="F2154" s="1576"/>
      <c r="G2154" s="1576"/>
      <c r="H2154" s="1576"/>
      <c r="I2154" s="1576"/>
      <c r="J2154" s="1577" t="s">
        <v>1314</v>
      </c>
      <c r="K2154" s="1577"/>
      <c r="L2154" s="1577" t="s">
        <v>1315</v>
      </c>
      <c r="M2154" s="1577"/>
      <c r="N2154" s="1577"/>
      <c r="O2154" s="1577" t="s">
        <v>1316</v>
      </c>
      <c r="P2154" s="1577"/>
      <c r="Q2154" s="1577"/>
      <c r="R2154" s="1577"/>
      <c r="S2154" s="1577"/>
      <c r="T2154" s="1577"/>
      <c r="U2154" s="1577"/>
    </row>
    <row r="2155" spans="1:23" ht="14.1" customHeight="1">
      <c r="A2155" s="1578" t="s">
        <v>1317</v>
      </c>
      <c r="B2155" s="1578"/>
      <c r="C2155" s="1578" t="s">
        <v>1318</v>
      </c>
      <c r="D2155" s="1578"/>
      <c r="E2155" s="1578"/>
      <c r="F2155" s="1578" t="s">
        <v>1319</v>
      </c>
      <c r="G2155" s="1578"/>
      <c r="H2155" s="1578"/>
      <c r="I2155" s="1578"/>
      <c r="J2155" s="1413" t="s">
        <v>1320</v>
      </c>
      <c r="K2155" s="1413" t="s">
        <v>1321</v>
      </c>
      <c r="L2155" s="1413" t="s">
        <v>1320</v>
      </c>
      <c r="M2155" s="1579" t="s">
        <v>1321</v>
      </c>
      <c r="N2155" s="1579"/>
      <c r="O2155" s="1579" t="s">
        <v>1320</v>
      </c>
      <c r="P2155" s="1579"/>
      <c r="Q2155" s="1579" t="s">
        <v>1321</v>
      </c>
      <c r="R2155" s="1579"/>
      <c r="S2155" s="1579"/>
      <c r="T2155" s="1579"/>
      <c r="U2155" s="1579"/>
    </row>
    <row r="2156" spans="1:23" ht="22.5" customHeight="1">
      <c r="A2156" s="1574" t="s">
        <v>1322</v>
      </c>
      <c r="B2156" s="1574"/>
      <c r="C2156" s="1574" t="s">
        <v>2815</v>
      </c>
      <c r="D2156" s="1574"/>
      <c r="E2156" s="1574"/>
      <c r="F2156" s="1574" t="s">
        <v>2509</v>
      </c>
      <c r="G2156" s="1574"/>
      <c r="H2156" s="1574"/>
      <c r="I2156" s="1574"/>
      <c r="J2156" s="1412">
        <v>139041.07999999999</v>
      </c>
      <c r="K2156" s="1412">
        <v>0</v>
      </c>
      <c r="L2156" s="1412">
        <v>10510.74</v>
      </c>
      <c r="M2156" s="1575">
        <v>0</v>
      </c>
      <c r="N2156" s="1575"/>
      <c r="O2156" s="1575">
        <v>149551.82</v>
      </c>
      <c r="P2156" s="1575"/>
      <c r="Q2156" s="1575">
        <v>0</v>
      </c>
      <c r="R2156" s="1575"/>
      <c r="S2156" s="1575"/>
      <c r="T2156" s="1575"/>
      <c r="U2156" s="1575"/>
    </row>
    <row r="2157" spans="1:23" ht="19.149999999999999" customHeight="1">
      <c r="A2157" s="1574" t="s">
        <v>1322</v>
      </c>
      <c r="B2157" s="1574"/>
      <c r="C2157" s="1574" t="s">
        <v>2816</v>
      </c>
      <c r="D2157" s="1574"/>
      <c r="E2157" s="1574"/>
      <c r="F2157" s="1574" t="s">
        <v>2511</v>
      </c>
      <c r="G2157" s="1574"/>
      <c r="H2157" s="1574"/>
      <c r="I2157" s="1574"/>
      <c r="J2157" s="1412">
        <v>251515.05</v>
      </c>
      <c r="K2157" s="1412">
        <v>0</v>
      </c>
      <c r="L2157" s="1412">
        <v>133763.01</v>
      </c>
      <c r="M2157" s="1575">
        <v>0</v>
      </c>
      <c r="N2157" s="1575"/>
      <c r="O2157" s="1575">
        <v>385278.06</v>
      </c>
      <c r="P2157" s="1575"/>
      <c r="Q2157" s="1575">
        <v>0</v>
      </c>
      <c r="R2157" s="1575"/>
      <c r="S2157" s="1575"/>
      <c r="T2157" s="1575"/>
      <c r="U2157" s="1575"/>
    </row>
    <row r="2158" spans="1:23" ht="19.149999999999999" customHeight="1">
      <c r="A2158" s="1574" t="s">
        <v>1322</v>
      </c>
      <c r="B2158" s="1574"/>
      <c r="C2158" s="1574" t="s">
        <v>2970</v>
      </c>
      <c r="D2158" s="1574"/>
      <c r="E2158" s="1574"/>
      <c r="F2158" s="1574" t="s">
        <v>2513</v>
      </c>
      <c r="G2158" s="1574"/>
      <c r="H2158" s="1574"/>
      <c r="I2158" s="1574"/>
      <c r="J2158" s="1412">
        <v>119591.09</v>
      </c>
      <c r="K2158" s="1412">
        <v>0</v>
      </c>
      <c r="L2158" s="1412">
        <v>139793.91</v>
      </c>
      <c r="M2158" s="1575">
        <v>0</v>
      </c>
      <c r="N2158" s="1575"/>
      <c r="O2158" s="1575">
        <v>259385</v>
      </c>
      <c r="P2158" s="1575"/>
      <c r="Q2158" s="1575">
        <v>0</v>
      </c>
      <c r="R2158" s="1575"/>
      <c r="S2158" s="1575"/>
      <c r="T2158" s="1575"/>
      <c r="U2158" s="1575"/>
    </row>
    <row r="2159" spans="1:23" ht="19.149999999999999" customHeight="1">
      <c r="A2159" s="1574" t="s">
        <v>1322</v>
      </c>
      <c r="B2159" s="1574"/>
      <c r="C2159" s="1574" t="s">
        <v>2817</v>
      </c>
      <c r="D2159" s="1574"/>
      <c r="E2159" s="1574"/>
      <c r="F2159" s="1574" t="s">
        <v>2387</v>
      </c>
      <c r="G2159" s="1574"/>
      <c r="H2159" s="1574"/>
      <c r="I2159" s="1574"/>
      <c r="J2159" s="1412">
        <v>2197867.5</v>
      </c>
      <c r="K2159" s="1412">
        <v>0</v>
      </c>
      <c r="L2159" s="1412">
        <v>145905.60000000001</v>
      </c>
      <c r="M2159" s="1575">
        <v>0</v>
      </c>
      <c r="N2159" s="1575"/>
      <c r="O2159" s="1575">
        <v>2343773.1</v>
      </c>
      <c r="P2159" s="1575"/>
      <c r="Q2159" s="1575">
        <v>0</v>
      </c>
      <c r="R2159" s="1575"/>
      <c r="S2159" s="1575"/>
      <c r="T2159" s="1575"/>
      <c r="U2159" s="1575"/>
    </row>
    <row r="2160" spans="1:23" ht="19.149999999999999" customHeight="1">
      <c r="A2160" s="1574" t="s">
        <v>1322</v>
      </c>
      <c r="B2160" s="1574"/>
      <c r="C2160" s="1574" t="s">
        <v>6577</v>
      </c>
      <c r="D2160" s="1574"/>
      <c r="E2160" s="1574"/>
      <c r="F2160" s="1574" t="s">
        <v>2390</v>
      </c>
      <c r="G2160" s="1574"/>
      <c r="H2160" s="1574"/>
      <c r="I2160" s="1574"/>
      <c r="J2160" s="1412">
        <v>100101.96</v>
      </c>
      <c r="K2160" s="1412">
        <v>0</v>
      </c>
      <c r="L2160" s="1412">
        <v>222414.33</v>
      </c>
      <c r="M2160" s="1575">
        <v>0</v>
      </c>
      <c r="N2160" s="1575"/>
      <c r="O2160" s="1575">
        <v>322516.28999999998</v>
      </c>
      <c r="P2160" s="1575"/>
      <c r="Q2160" s="1575">
        <v>0</v>
      </c>
      <c r="R2160" s="1575"/>
      <c r="S2160" s="1575"/>
      <c r="T2160" s="1575"/>
      <c r="U2160" s="1575"/>
    </row>
    <row r="2161" spans="1:23" ht="19.149999999999999" customHeight="1">
      <c r="A2161" s="1574" t="s">
        <v>1322</v>
      </c>
      <c r="B2161" s="1574"/>
      <c r="C2161" s="1574" t="s">
        <v>6578</v>
      </c>
      <c r="D2161" s="1574"/>
      <c r="E2161" s="1574"/>
      <c r="F2161" s="1574" t="s">
        <v>2392</v>
      </c>
      <c r="G2161" s="1574"/>
      <c r="H2161" s="1574"/>
      <c r="I2161" s="1574"/>
      <c r="J2161" s="1412">
        <v>2699.48</v>
      </c>
      <c r="K2161" s="1412">
        <v>0</v>
      </c>
      <c r="L2161" s="1412">
        <v>11478.46</v>
      </c>
      <c r="M2161" s="1575">
        <v>0</v>
      </c>
      <c r="N2161" s="1575"/>
      <c r="O2161" s="1575">
        <v>14177.94</v>
      </c>
      <c r="P2161" s="1575"/>
      <c r="Q2161" s="1575">
        <v>0</v>
      </c>
      <c r="R2161" s="1575"/>
      <c r="S2161" s="1575"/>
      <c r="T2161" s="1575"/>
      <c r="U2161" s="1575"/>
    </row>
    <row r="2162" spans="1:23" ht="19.149999999999999" customHeight="1">
      <c r="A2162" s="1574" t="s">
        <v>1322</v>
      </c>
      <c r="B2162" s="1574"/>
      <c r="C2162" s="1574" t="s">
        <v>2818</v>
      </c>
      <c r="D2162" s="1574"/>
      <c r="E2162" s="1574"/>
      <c r="F2162" s="1574" t="s">
        <v>2396</v>
      </c>
      <c r="G2162" s="1574"/>
      <c r="H2162" s="1574"/>
      <c r="I2162" s="1574"/>
      <c r="J2162" s="1412">
        <v>353083.1</v>
      </c>
      <c r="K2162" s="1412">
        <v>0</v>
      </c>
      <c r="L2162" s="1412">
        <v>37205.94</v>
      </c>
      <c r="M2162" s="1575">
        <v>0</v>
      </c>
      <c r="N2162" s="1575"/>
      <c r="O2162" s="1575">
        <v>390289.04</v>
      </c>
      <c r="P2162" s="1575"/>
      <c r="Q2162" s="1575">
        <v>0</v>
      </c>
      <c r="R2162" s="1575"/>
      <c r="S2162" s="1575"/>
      <c r="T2162" s="1575"/>
      <c r="U2162" s="1575"/>
    </row>
    <row r="2163" spans="1:23" ht="19.149999999999999" customHeight="1">
      <c r="A2163" s="1574" t="s">
        <v>1322</v>
      </c>
      <c r="B2163" s="1574"/>
      <c r="C2163" s="1574" t="s">
        <v>2819</v>
      </c>
      <c r="D2163" s="1574"/>
      <c r="E2163" s="1574"/>
      <c r="F2163" s="1574" t="s">
        <v>2398</v>
      </c>
      <c r="G2163" s="1574"/>
      <c r="H2163" s="1574"/>
      <c r="I2163" s="1574"/>
      <c r="J2163" s="1412">
        <v>5650.9</v>
      </c>
      <c r="K2163" s="1412">
        <v>0</v>
      </c>
      <c r="L2163" s="1412">
        <v>475.36</v>
      </c>
      <c r="M2163" s="1575">
        <v>0</v>
      </c>
      <c r="N2163" s="1575"/>
      <c r="O2163" s="1575">
        <v>6126.26</v>
      </c>
      <c r="P2163" s="1575"/>
      <c r="Q2163" s="1575">
        <v>0</v>
      </c>
      <c r="R2163" s="1575"/>
      <c r="S2163" s="1575"/>
      <c r="T2163" s="1575"/>
      <c r="U2163" s="1575"/>
    </row>
    <row r="2164" spans="1:23" ht="19.149999999999999" customHeight="1">
      <c r="A2164" s="1574" t="s">
        <v>1322</v>
      </c>
      <c r="B2164" s="1574"/>
      <c r="C2164" s="1574" t="s">
        <v>2820</v>
      </c>
      <c r="D2164" s="1574"/>
      <c r="E2164" s="1574"/>
      <c r="F2164" s="1574" t="s">
        <v>2400</v>
      </c>
      <c r="G2164" s="1574"/>
      <c r="H2164" s="1574"/>
      <c r="I2164" s="1574"/>
      <c r="J2164" s="1412">
        <v>158855.32</v>
      </c>
      <c r="K2164" s="1412">
        <v>0</v>
      </c>
      <c r="L2164" s="1412">
        <v>0</v>
      </c>
      <c r="M2164" s="1575">
        <v>0</v>
      </c>
      <c r="N2164" s="1575"/>
      <c r="O2164" s="1575">
        <v>158855.32</v>
      </c>
      <c r="P2164" s="1575"/>
      <c r="Q2164" s="1575">
        <v>0</v>
      </c>
      <c r="R2164" s="1575"/>
      <c r="S2164" s="1575"/>
      <c r="T2164" s="1575"/>
      <c r="U2164" s="1575"/>
    </row>
    <row r="2165" spans="1:23" ht="19.149999999999999" customHeight="1">
      <c r="A2165" s="1574" t="s">
        <v>1322</v>
      </c>
      <c r="B2165" s="1574"/>
      <c r="C2165" s="1574" t="s">
        <v>2821</v>
      </c>
      <c r="D2165" s="1574"/>
      <c r="E2165" s="1574"/>
      <c r="F2165" s="1574" t="s">
        <v>2402</v>
      </c>
      <c r="G2165" s="1574"/>
      <c r="H2165" s="1574"/>
      <c r="I2165" s="1574"/>
      <c r="J2165" s="1412">
        <v>114675.81</v>
      </c>
      <c r="K2165" s="1412">
        <v>0</v>
      </c>
      <c r="L2165" s="1412">
        <v>10171.700000000001</v>
      </c>
      <c r="M2165" s="1575">
        <v>0</v>
      </c>
      <c r="N2165" s="1575"/>
      <c r="O2165" s="1575">
        <v>124847.51</v>
      </c>
      <c r="P2165" s="1575"/>
      <c r="Q2165" s="1575">
        <v>0</v>
      </c>
      <c r="R2165" s="1575"/>
      <c r="S2165" s="1575"/>
      <c r="T2165" s="1575"/>
      <c r="U2165" s="1575"/>
    </row>
    <row r="2166" spans="1:23" ht="19.149999999999999" customHeight="1">
      <c r="A2166" s="1574" t="s">
        <v>1322</v>
      </c>
      <c r="B2166" s="1574"/>
      <c r="C2166" s="1574" t="s">
        <v>2822</v>
      </c>
      <c r="D2166" s="1574"/>
      <c r="E2166" s="1574"/>
      <c r="F2166" s="1574" t="s">
        <v>2419</v>
      </c>
      <c r="G2166" s="1574"/>
      <c r="H2166" s="1574"/>
      <c r="I2166" s="1574"/>
      <c r="J2166" s="1412">
        <v>1202675.3</v>
      </c>
      <c r="K2166" s="1412">
        <v>0</v>
      </c>
      <c r="L2166" s="1412">
        <v>981970</v>
      </c>
      <c r="M2166" s="1575">
        <v>0</v>
      </c>
      <c r="N2166" s="1575"/>
      <c r="O2166" s="1575">
        <v>2184645.2999999998</v>
      </c>
      <c r="P2166" s="1575"/>
      <c r="Q2166" s="1575">
        <v>0</v>
      </c>
      <c r="R2166" s="1575"/>
      <c r="S2166" s="1575"/>
      <c r="T2166" s="1575"/>
      <c r="U2166" s="1575"/>
    </row>
    <row r="2167" spans="1:23" ht="19.149999999999999" customHeight="1">
      <c r="A2167" s="1574" t="s">
        <v>1322</v>
      </c>
      <c r="B2167" s="1574"/>
      <c r="C2167" s="1574" t="s">
        <v>2823</v>
      </c>
      <c r="D2167" s="1574"/>
      <c r="E2167" s="1574"/>
      <c r="F2167" s="1574" t="s">
        <v>2524</v>
      </c>
      <c r="G2167" s="1574"/>
      <c r="H2167" s="1574"/>
      <c r="I2167" s="1574"/>
      <c r="J2167" s="1412">
        <v>137925.43</v>
      </c>
      <c r="K2167" s="1412">
        <v>0</v>
      </c>
      <c r="L2167" s="1412">
        <v>12854.08</v>
      </c>
      <c r="M2167" s="1575">
        <v>0</v>
      </c>
      <c r="N2167" s="1575"/>
      <c r="O2167" s="1575">
        <v>150779.51</v>
      </c>
      <c r="P2167" s="1575"/>
      <c r="Q2167" s="1575">
        <v>0</v>
      </c>
      <c r="R2167" s="1575"/>
      <c r="S2167" s="1575"/>
      <c r="T2167" s="1575"/>
      <c r="U2167" s="1575"/>
    </row>
    <row r="2168" spans="1:23" ht="19.149999999999999" customHeight="1">
      <c r="A2168" s="1574" t="s">
        <v>1322</v>
      </c>
      <c r="B2168" s="1574"/>
      <c r="C2168" s="1574" t="s">
        <v>3119</v>
      </c>
      <c r="D2168" s="1574"/>
      <c r="E2168" s="1574"/>
      <c r="F2168" s="1574" t="s">
        <v>2528</v>
      </c>
      <c r="G2168" s="1574"/>
      <c r="H2168" s="1574"/>
      <c r="I2168" s="1574"/>
      <c r="J2168" s="1412">
        <v>585526.41</v>
      </c>
      <c r="K2168" s="1412">
        <v>0</v>
      </c>
      <c r="L2168" s="1412">
        <v>28218</v>
      </c>
      <c r="M2168" s="1575">
        <v>0</v>
      </c>
      <c r="N2168" s="1575"/>
      <c r="O2168" s="1575">
        <v>613744.41</v>
      </c>
      <c r="P2168" s="1575"/>
      <c r="Q2168" s="1575">
        <v>0</v>
      </c>
      <c r="R2168" s="1575"/>
      <c r="S2168" s="1575"/>
      <c r="T2168" s="1575"/>
      <c r="U2168" s="1575"/>
    </row>
    <row r="2169" spans="1:23" ht="19.149999999999999" customHeight="1">
      <c r="A2169" s="1574" t="s">
        <v>1322</v>
      </c>
      <c r="B2169" s="1574"/>
      <c r="C2169" s="1574" t="s">
        <v>5872</v>
      </c>
      <c r="D2169" s="1574"/>
      <c r="E2169" s="1574"/>
      <c r="F2169" s="1574" t="s">
        <v>2530</v>
      </c>
      <c r="G2169" s="1574"/>
      <c r="H2169" s="1574"/>
      <c r="I2169" s="1574"/>
      <c r="J2169" s="1412">
        <v>58788.61</v>
      </c>
      <c r="K2169" s="1412">
        <v>0</v>
      </c>
      <c r="L2169" s="1412">
        <v>0</v>
      </c>
      <c r="M2169" s="1575">
        <v>0</v>
      </c>
      <c r="N2169" s="1575"/>
      <c r="O2169" s="1575">
        <v>58788.61</v>
      </c>
      <c r="P2169" s="1575"/>
      <c r="Q2169" s="1575">
        <v>0</v>
      </c>
      <c r="R2169" s="1575"/>
      <c r="S2169" s="1575"/>
      <c r="T2169" s="1575"/>
      <c r="U2169" s="1575"/>
    </row>
    <row r="2170" spans="1:23" ht="7.15" customHeight="1" thickBot="1"/>
    <row r="2171" spans="1:23" ht="14.1" customHeight="1" thickTop="1">
      <c r="I2171" s="1408" t="s">
        <v>1701</v>
      </c>
      <c r="J2171" s="1411">
        <v>1540083397.6400001</v>
      </c>
      <c r="K2171" s="1411">
        <v>1540083397.6400001</v>
      </c>
      <c r="L2171" s="1411">
        <v>536876072.13</v>
      </c>
      <c r="M2171" s="1571">
        <v>536876072.13</v>
      </c>
      <c r="N2171" s="1571"/>
      <c r="O2171" s="1571">
        <v>1556355302.3699999</v>
      </c>
      <c r="P2171" s="1571"/>
      <c r="Q2171" s="1571">
        <v>1556355302.3699999</v>
      </c>
      <c r="R2171" s="1571"/>
      <c r="S2171" s="1571"/>
      <c r="T2171" s="1571"/>
      <c r="U2171" s="1571"/>
    </row>
    <row r="2172" spans="1:23" ht="7.15" customHeight="1"/>
    <row r="2173" spans="1:23" ht="14.1" customHeight="1">
      <c r="P2173" s="1572"/>
      <c r="Q2173" s="1572"/>
      <c r="R2173" s="1572"/>
      <c r="S2173" s="1572"/>
      <c r="T2173" s="1572"/>
      <c r="U2173" s="1572"/>
      <c r="V2173" s="1572"/>
    </row>
    <row r="2174" spans="1:23" ht="137.44999999999999" customHeight="1"/>
    <row r="2175" spans="1:23" ht="14.1" customHeight="1">
      <c r="S2175" s="1573" t="s">
        <v>7075</v>
      </c>
      <c r="T2175" s="1573"/>
      <c r="U2175" s="1573"/>
      <c r="V2175" s="1573"/>
      <c r="W2175" s="1573"/>
    </row>
  </sheetData>
  <mergeCells count="10652">
    <mergeCell ref="A11:B11"/>
    <mergeCell ref="C11:E11"/>
    <mergeCell ref="F11:I11"/>
    <mergeCell ref="M11:N11"/>
    <mergeCell ref="O11:P11"/>
    <mergeCell ref="Q11:U11"/>
    <mergeCell ref="A10:B10"/>
    <mergeCell ref="C10:E10"/>
    <mergeCell ref="F10:I10"/>
    <mergeCell ref="M10:N10"/>
    <mergeCell ref="O10:P10"/>
    <mergeCell ref="Q10:U10"/>
    <mergeCell ref="B7:D7"/>
    <mergeCell ref="E7:Q8"/>
    <mergeCell ref="R7:S8"/>
    <mergeCell ref="T7:U8"/>
    <mergeCell ref="A9:I9"/>
    <mergeCell ref="J9:K9"/>
    <mergeCell ref="L9:N9"/>
    <mergeCell ref="O9:U9"/>
    <mergeCell ref="C1:T1"/>
    <mergeCell ref="A2:F4"/>
    <mergeCell ref="G2:T2"/>
    <mergeCell ref="G3:R3"/>
    <mergeCell ref="G4:Q4"/>
    <mergeCell ref="B5:G6"/>
    <mergeCell ref="H5:M5"/>
    <mergeCell ref="N5:S6"/>
    <mergeCell ref="T5:W6"/>
    <mergeCell ref="H6:M6"/>
    <mergeCell ref="A17:B17"/>
    <mergeCell ref="C17:E17"/>
    <mergeCell ref="F17:I17"/>
    <mergeCell ref="M17:N17"/>
    <mergeCell ref="O17:P17"/>
    <mergeCell ref="Q17:U17"/>
    <mergeCell ref="A16:B16"/>
    <mergeCell ref="C16:E16"/>
    <mergeCell ref="F16:I16"/>
    <mergeCell ref="M16:N16"/>
    <mergeCell ref="O16:P16"/>
    <mergeCell ref="Q16:U16"/>
    <mergeCell ref="A15:B15"/>
    <mergeCell ref="C15:E15"/>
    <mergeCell ref="F15:I15"/>
    <mergeCell ref="M15:N15"/>
    <mergeCell ref="O15:P15"/>
    <mergeCell ref="Q15:U15"/>
    <mergeCell ref="A14:B14"/>
    <mergeCell ref="C14:E14"/>
    <mergeCell ref="F14:I14"/>
    <mergeCell ref="M14:N14"/>
    <mergeCell ref="O14:P14"/>
    <mergeCell ref="Q14:U14"/>
    <mergeCell ref="A13:B13"/>
    <mergeCell ref="C13:E13"/>
    <mergeCell ref="F13:I13"/>
    <mergeCell ref="M13:N13"/>
    <mergeCell ref="O13:P13"/>
    <mergeCell ref="Q13:U13"/>
    <mergeCell ref="A12:B12"/>
    <mergeCell ref="C12:E12"/>
    <mergeCell ref="F12:I12"/>
    <mergeCell ref="M12:N12"/>
    <mergeCell ref="O12:P12"/>
    <mergeCell ref="Q12:U12"/>
    <mergeCell ref="A23:B23"/>
    <mergeCell ref="C23:E23"/>
    <mergeCell ref="F23:I23"/>
    <mergeCell ref="M23:N23"/>
    <mergeCell ref="O23:P23"/>
    <mergeCell ref="Q23:U23"/>
    <mergeCell ref="A22:B22"/>
    <mergeCell ref="C22:E22"/>
    <mergeCell ref="F22:I22"/>
    <mergeCell ref="M22:N22"/>
    <mergeCell ref="O22:P22"/>
    <mergeCell ref="Q22:U22"/>
    <mergeCell ref="A21:B21"/>
    <mergeCell ref="C21:E21"/>
    <mergeCell ref="F21:I21"/>
    <mergeCell ref="M21:N21"/>
    <mergeCell ref="O21:P21"/>
    <mergeCell ref="Q21:U21"/>
    <mergeCell ref="A20:B20"/>
    <mergeCell ref="C20:E20"/>
    <mergeCell ref="F20:I20"/>
    <mergeCell ref="M20:N20"/>
    <mergeCell ref="O20:P20"/>
    <mergeCell ref="Q20:U20"/>
    <mergeCell ref="A19:B19"/>
    <mergeCell ref="C19:E19"/>
    <mergeCell ref="F19:I19"/>
    <mergeCell ref="M19:N19"/>
    <mergeCell ref="O19:P19"/>
    <mergeCell ref="Q19:U19"/>
    <mergeCell ref="A18:B18"/>
    <mergeCell ref="C18:E18"/>
    <mergeCell ref="F18:I18"/>
    <mergeCell ref="M18:N18"/>
    <mergeCell ref="O18:P18"/>
    <mergeCell ref="Q18:U18"/>
    <mergeCell ref="A29:B29"/>
    <mergeCell ref="C29:E29"/>
    <mergeCell ref="F29:I29"/>
    <mergeCell ref="M29:N29"/>
    <mergeCell ref="O29:P29"/>
    <mergeCell ref="Q29:U29"/>
    <mergeCell ref="A28:B28"/>
    <mergeCell ref="C28:E28"/>
    <mergeCell ref="F28:I28"/>
    <mergeCell ref="M28:N28"/>
    <mergeCell ref="O28:P28"/>
    <mergeCell ref="Q28:U28"/>
    <mergeCell ref="A27:B27"/>
    <mergeCell ref="C27:E27"/>
    <mergeCell ref="F27:I27"/>
    <mergeCell ref="M27:N27"/>
    <mergeCell ref="O27:P27"/>
    <mergeCell ref="Q27:U27"/>
    <mergeCell ref="A26:B26"/>
    <mergeCell ref="C26:E26"/>
    <mergeCell ref="F26:I26"/>
    <mergeCell ref="M26:N26"/>
    <mergeCell ref="O26:P26"/>
    <mergeCell ref="Q26:U26"/>
    <mergeCell ref="A25:B25"/>
    <mergeCell ref="C25:E25"/>
    <mergeCell ref="F25:I25"/>
    <mergeCell ref="M25:N25"/>
    <mergeCell ref="O25:P25"/>
    <mergeCell ref="Q25:U25"/>
    <mergeCell ref="A24:B24"/>
    <mergeCell ref="C24:E24"/>
    <mergeCell ref="F24:I24"/>
    <mergeCell ref="M24:N24"/>
    <mergeCell ref="O24:P24"/>
    <mergeCell ref="Q24:U24"/>
    <mergeCell ref="A35:B35"/>
    <mergeCell ref="C35:E35"/>
    <mergeCell ref="F35:I35"/>
    <mergeCell ref="M35:N35"/>
    <mergeCell ref="O35:P35"/>
    <mergeCell ref="Q35:U35"/>
    <mergeCell ref="A34:B34"/>
    <mergeCell ref="C34:E34"/>
    <mergeCell ref="F34:I34"/>
    <mergeCell ref="M34:N34"/>
    <mergeCell ref="O34:P34"/>
    <mergeCell ref="Q34:U34"/>
    <mergeCell ref="A33:B33"/>
    <mergeCell ref="C33:E33"/>
    <mergeCell ref="F33:I33"/>
    <mergeCell ref="M33:N33"/>
    <mergeCell ref="O33:P33"/>
    <mergeCell ref="Q33:U33"/>
    <mergeCell ref="A32:B32"/>
    <mergeCell ref="C32:E32"/>
    <mergeCell ref="F32:I32"/>
    <mergeCell ref="M32:N32"/>
    <mergeCell ref="O32:P32"/>
    <mergeCell ref="Q32:U32"/>
    <mergeCell ref="A31:B31"/>
    <mergeCell ref="C31:E31"/>
    <mergeCell ref="F31:I31"/>
    <mergeCell ref="M31:N31"/>
    <mergeCell ref="O31:P31"/>
    <mergeCell ref="Q31:U31"/>
    <mergeCell ref="A30:B30"/>
    <mergeCell ref="C30:E30"/>
    <mergeCell ref="F30:I30"/>
    <mergeCell ref="M30:N30"/>
    <mergeCell ref="O30:P30"/>
    <mergeCell ref="Q30:U30"/>
    <mergeCell ref="A41:B41"/>
    <mergeCell ref="C41:E41"/>
    <mergeCell ref="F41:I41"/>
    <mergeCell ref="M41:N41"/>
    <mergeCell ref="O41:P41"/>
    <mergeCell ref="Q41:U41"/>
    <mergeCell ref="A40:B40"/>
    <mergeCell ref="C40:E40"/>
    <mergeCell ref="F40:I40"/>
    <mergeCell ref="M40:N40"/>
    <mergeCell ref="O40:P40"/>
    <mergeCell ref="Q40:U40"/>
    <mergeCell ref="A39:B39"/>
    <mergeCell ref="C39:E39"/>
    <mergeCell ref="F39:I39"/>
    <mergeCell ref="M39:N39"/>
    <mergeCell ref="O39:P39"/>
    <mergeCell ref="Q39:U39"/>
    <mergeCell ref="A38:B38"/>
    <mergeCell ref="C38:E38"/>
    <mergeCell ref="F38:I38"/>
    <mergeCell ref="M38:N38"/>
    <mergeCell ref="O38:P38"/>
    <mergeCell ref="Q38:U38"/>
    <mergeCell ref="A37:B37"/>
    <mergeCell ref="C37:E37"/>
    <mergeCell ref="F37:I37"/>
    <mergeCell ref="M37:N37"/>
    <mergeCell ref="O37:P37"/>
    <mergeCell ref="Q37:U37"/>
    <mergeCell ref="A36:B36"/>
    <mergeCell ref="C36:E36"/>
    <mergeCell ref="F36:I36"/>
    <mergeCell ref="M36:N36"/>
    <mergeCell ref="O36:P36"/>
    <mergeCell ref="Q36:U36"/>
    <mergeCell ref="A47:B47"/>
    <mergeCell ref="C47:E47"/>
    <mergeCell ref="F47:I47"/>
    <mergeCell ref="M47:N47"/>
    <mergeCell ref="O47:P47"/>
    <mergeCell ref="Q47:U47"/>
    <mergeCell ref="A46:B46"/>
    <mergeCell ref="C46:E46"/>
    <mergeCell ref="F46:I46"/>
    <mergeCell ref="M46:N46"/>
    <mergeCell ref="O46:P46"/>
    <mergeCell ref="Q46:U46"/>
    <mergeCell ref="A45:B45"/>
    <mergeCell ref="C45:E45"/>
    <mergeCell ref="F45:I45"/>
    <mergeCell ref="M45:N45"/>
    <mergeCell ref="O45:P45"/>
    <mergeCell ref="Q45:U45"/>
    <mergeCell ref="A44:B44"/>
    <mergeCell ref="C44:E44"/>
    <mergeCell ref="F44:I44"/>
    <mergeCell ref="M44:N44"/>
    <mergeCell ref="O44:P44"/>
    <mergeCell ref="Q44:U44"/>
    <mergeCell ref="A43:B43"/>
    <mergeCell ref="C43:E43"/>
    <mergeCell ref="F43:I43"/>
    <mergeCell ref="M43:N43"/>
    <mergeCell ref="O43:P43"/>
    <mergeCell ref="Q43:U43"/>
    <mergeCell ref="A42:B42"/>
    <mergeCell ref="C42:E42"/>
    <mergeCell ref="F42:I42"/>
    <mergeCell ref="M42:N42"/>
    <mergeCell ref="O42:P42"/>
    <mergeCell ref="Q42:U42"/>
    <mergeCell ref="A60:I60"/>
    <mergeCell ref="J60:K60"/>
    <mergeCell ref="L60:N60"/>
    <mergeCell ref="O60:U60"/>
    <mergeCell ref="A61:B61"/>
    <mergeCell ref="C61:E61"/>
    <mergeCell ref="F61:I61"/>
    <mergeCell ref="M61:N61"/>
    <mergeCell ref="O61:P61"/>
    <mergeCell ref="Q61:U61"/>
    <mergeCell ref="B56:G57"/>
    <mergeCell ref="H56:M56"/>
    <mergeCell ref="N56:S57"/>
    <mergeCell ref="T56:W57"/>
    <mergeCell ref="H57:M57"/>
    <mergeCell ref="B58:D58"/>
    <mergeCell ref="E58:Q59"/>
    <mergeCell ref="R58:S59"/>
    <mergeCell ref="T58:U59"/>
    <mergeCell ref="S51:W51"/>
    <mergeCell ref="C52:T52"/>
    <mergeCell ref="A53:F55"/>
    <mergeCell ref="G53:T53"/>
    <mergeCell ref="G54:R54"/>
    <mergeCell ref="G55:Q55"/>
    <mergeCell ref="A49:B49"/>
    <mergeCell ref="C49:E49"/>
    <mergeCell ref="F49:I49"/>
    <mergeCell ref="M49:N49"/>
    <mergeCell ref="O49:P49"/>
    <mergeCell ref="Q49:U49"/>
    <mergeCell ref="A48:B48"/>
    <mergeCell ref="C48:E48"/>
    <mergeCell ref="F48:I48"/>
    <mergeCell ref="M48:N48"/>
    <mergeCell ref="O48:P48"/>
    <mergeCell ref="Q48:U48"/>
    <mergeCell ref="A67:B67"/>
    <mergeCell ref="C67:E67"/>
    <mergeCell ref="F67:I67"/>
    <mergeCell ref="M67:N67"/>
    <mergeCell ref="O67:P67"/>
    <mergeCell ref="Q67:U67"/>
    <mergeCell ref="A66:B66"/>
    <mergeCell ref="C66:E66"/>
    <mergeCell ref="F66:I66"/>
    <mergeCell ref="M66:N66"/>
    <mergeCell ref="O66:P66"/>
    <mergeCell ref="Q66:U66"/>
    <mergeCell ref="A65:B65"/>
    <mergeCell ref="C65:E65"/>
    <mergeCell ref="F65:I65"/>
    <mergeCell ref="M65:N65"/>
    <mergeCell ref="O65:P65"/>
    <mergeCell ref="Q65:U65"/>
    <mergeCell ref="A64:B64"/>
    <mergeCell ref="C64:E64"/>
    <mergeCell ref="F64:I64"/>
    <mergeCell ref="M64:N64"/>
    <mergeCell ref="O64:P64"/>
    <mergeCell ref="Q64:U64"/>
    <mergeCell ref="A63:B63"/>
    <mergeCell ref="C63:E63"/>
    <mergeCell ref="F63:I63"/>
    <mergeCell ref="M63:N63"/>
    <mergeCell ref="O63:P63"/>
    <mergeCell ref="Q63:U63"/>
    <mergeCell ref="A62:B62"/>
    <mergeCell ref="C62:E62"/>
    <mergeCell ref="F62:I62"/>
    <mergeCell ref="M62:N62"/>
    <mergeCell ref="O62:P62"/>
    <mergeCell ref="Q62:U62"/>
    <mergeCell ref="A73:B73"/>
    <mergeCell ref="C73:E73"/>
    <mergeCell ref="F73:I73"/>
    <mergeCell ref="M73:N73"/>
    <mergeCell ref="O73:P73"/>
    <mergeCell ref="Q73:U73"/>
    <mergeCell ref="A72:B72"/>
    <mergeCell ref="C72:E72"/>
    <mergeCell ref="F72:I72"/>
    <mergeCell ref="M72:N72"/>
    <mergeCell ref="O72:P72"/>
    <mergeCell ref="Q72:U72"/>
    <mergeCell ref="A71:B71"/>
    <mergeCell ref="C71:E71"/>
    <mergeCell ref="F71:I71"/>
    <mergeCell ref="M71:N71"/>
    <mergeCell ref="O71:P71"/>
    <mergeCell ref="Q71:U71"/>
    <mergeCell ref="A70:B70"/>
    <mergeCell ref="C70:E70"/>
    <mergeCell ref="F70:I70"/>
    <mergeCell ref="M70:N70"/>
    <mergeCell ref="O70:P70"/>
    <mergeCell ref="Q70:U70"/>
    <mergeCell ref="A69:B69"/>
    <mergeCell ref="C69:E69"/>
    <mergeCell ref="F69:I69"/>
    <mergeCell ref="M69:N69"/>
    <mergeCell ref="O69:P69"/>
    <mergeCell ref="Q69:U69"/>
    <mergeCell ref="A68:B68"/>
    <mergeCell ref="C68:E68"/>
    <mergeCell ref="F68:I68"/>
    <mergeCell ref="M68:N68"/>
    <mergeCell ref="O68:P68"/>
    <mergeCell ref="Q68:U68"/>
    <mergeCell ref="A79:B79"/>
    <mergeCell ref="C79:E79"/>
    <mergeCell ref="F79:I79"/>
    <mergeCell ref="M79:N79"/>
    <mergeCell ref="O79:P79"/>
    <mergeCell ref="Q79:U79"/>
    <mergeCell ref="A78:B78"/>
    <mergeCell ref="C78:E78"/>
    <mergeCell ref="F78:I78"/>
    <mergeCell ref="M78:N78"/>
    <mergeCell ref="O78:P78"/>
    <mergeCell ref="Q78:U78"/>
    <mergeCell ref="A77:B77"/>
    <mergeCell ref="C77:E77"/>
    <mergeCell ref="F77:I77"/>
    <mergeCell ref="M77:N77"/>
    <mergeCell ref="O77:P77"/>
    <mergeCell ref="Q77:U77"/>
    <mergeCell ref="A76:B76"/>
    <mergeCell ref="C76:E76"/>
    <mergeCell ref="F76:I76"/>
    <mergeCell ref="M76:N76"/>
    <mergeCell ref="O76:P76"/>
    <mergeCell ref="Q76:U76"/>
    <mergeCell ref="A75:B75"/>
    <mergeCell ref="C75:E75"/>
    <mergeCell ref="F75:I75"/>
    <mergeCell ref="M75:N75"/>
    <mergeCell ref="O75:P75"/>
    <mergeCell ref="Q75:U75"/>
    <mergeCell ref="A74:B74"/>
    <mergeCell ref="C74:E74"/>
    <mergeCell ref="F74:I74"/>
    <mergeCell ref="M74:N74"/>
    <mergeCell ref="O74:P74"/>
    <mergeCell ref="Q74:U74"/>
    <mergeCell ref="A85:B85"/>
    <mergeCell ref="C85:E85"/>
    <mergeCell ref="F85:I85"/>
    <mergeCell ref="M85:N85"/>
    <mergeCell ref="O85:P85"/>
    <mergeCell ref="Q85:U85"/>
    <mergeCell ref="A84:B84"/>
    <mergeCell ref="C84:E84"/>
    <mergeCell ref="F84:I84"/>
    <mergeCell ref="M84:N84"/>
    <mergeCell ref="O84:P84"/>
    <mergeCell ref="Q84:U84"/>
    <mergeCell ref="A83:B83"/>
    <mergeCell ref="C83:E83"/>
    <mergeCell ref="F83:I83"/>
    <mergeCell ref="M83:N83"/>
    <mergeCell ref="O83:P83"/>
    <mergeCell ref="Q83:U83"/>
    <mergeCell ref="A82:B82"/>
    <mergeCell ref="C82:E82"/>
    <mergeCell ref="F82:I82"/>
    <mergeCell ref="M82:N82"/>
    <mergeCell ref="O82:P82"/>
    <mergeCell ref="Q82:U82"/>
    <mergeCell ref="A81:B81"/>
    <mergeCell ref="C81:E81"/>
    <mergeCell ref="F81:I81"/>
    <mergeCell ref="M81:N81"/>
    <mergeCell ref="O81:P81"/>
    <mergeCell ref="Q81:U81"/>
    <mergeCell ref="A80:B80"/>
    <mergeCell ref="C80:E80"/>
    <mergeCell ref="F80:I80"/>
    <mergeCell ref="M80:N80"/>
    <mergeCell ref="O80:P80"/>
    <mergeCell ref="Q80:U80"/>
    <mergeCell ref="A91:B91"/>
    <mergeCell ref="C91:E91"/>
    <mergeCell ref="F91:I91"/>
    <mergeCell ref="M91:N91"/>
    <mergeCell ref="O91:P91"/>
    <mergeCell ref="Q91:U91"/>
    <mergeCell ref="A90:B90"/>
    <mergeCell ref="C90:E90"/>
    <mergeCell ref="F90:I90"/>
    <mergeCell ref="M90:N90"/>
    <mergeCell ref="O90:P90"/>
    <mergeCell ref="Q90:U90"/>
    <mergeCell ref="A89:B89"/>
    <mergeCell ref="C89:E89"/>
    <mergeCell ref="F89:I89"/>
    <mergeCell ref="M89:N89"/>
    <mergeCell ref="O89:P89"/>
    <mergeCell ref="Q89:U89"/>
    <mergeCell ref="A88:B88"/>
    <mergeCell ref="C88:E88"/>
    <mergeCell ref="F88:I88"/>
    <mergeCell ref="M88:N88"/>
    <mergeCell ref="O88:P88"/>
    <mergeCell ref="Q88:U88"/>
    <mergeCell ref="A87:B87"/>
    <mergeCell ref="C87:E87"/>
    <mergeCell ref="F87:I87"/>
    <mergeCell ref="M87:N87"/>
    <mergeCell ref="O87:P87"/>
    <mergeCell ref="Q87:U87"/>
    <mergeCell ref="A86:B86"/>
    <mergeCell ref="C86:E86"/>
    <mergeCell ref="F86:I86"/>
    <mergeCell ref="M86:N86"/>
    <mergeCell ref="O86:P86"/>
    <mergeCell ref="Q86:U86"/>
    <mergeCell ref="A97:B97"/>
    <mergeCell ref="C97:E97"/>
    <mergeCell ref="F97:I97"/>
    <mergeCell ref="M97:N97"/>
    <mergeCell ref="O97:P97"/>
    <mergeCell ref="Q97:U97"/>
    <mergeCell ref="A96:B96"/>
    <mergeCell ref="C96:E96"/>
    <mergeCell ref="F96:I96"/>
    <mergeCell ref="M96:N96"/>
    <mergeCell ref="O96:P96"/>
    <mergeCell ref="Q96:U96"/>
    <mergeCell ref="A95:B95"/>
    <mergeCell ref="C95:E95"/>
    <mergeCell ref="F95:I95"/>
    <mergeCell ref="M95:N95"/>
    <mergeCell ref="O95:P95"/>
    <mergeCell ref="Q95:U95"/>
    <mergeCell ref="A94:B94"/>
    <mergeCell ref="C94:E94"/>
    <mergeCell ref="F94:I94"/>
    <mergeCell ref="M94:N94"/>
    <mergeCell ref="O94:P94"/>
    <mergeCell ref="Q94:U94"/>
    <mergeCell ref="A93:B93"/>
    <mergeCell ref="C93:E93"/>
    <mergeCell ref="F93:I93"/>
    <mergeCell ref="M93:N93"/>
    <mergeCell ref="O93:P93"/>
    <mergeCell ref="Q93:U93"/>
    <mergeCell ref="A92:B92"/>
    <mergeCell ref="C92:E92"/>
    <mergeCell ref="F92:I92"/>
    <mergeCell ref="M92:N92"/>
    <mergeCell ref="O92:P92"/>
    <mergeCell ref="Q92:U92"/>
    <mergeCell ref="S103:W103"/>
    <mergeCell ref="C104:T104"/>
    <mergeCell ref="A105:F107"/>
    <mergeCell ref="G105:T105"/>
    <mergeCell ref="G106:R106"/>
    <mergeCell ref="G107:Q107"/>
    <mergeCell ref="A102:B102"/>
    <mergeCell ref="C102:E102"/>
    <mergeCell ref="F102:I102"/>
    <mergeCell ref="M102:N102"/>
    <mergeCell ref="O102:P102"/>
    <mergeCell ref="Q102:U102"/>
    <mergeCell ref="A101:B101"/>
    <mergeCell ref="C101:E101"/>
    <mergeCell ref="F101:I101"/>
    <mergeCell ref="M101:N101"/>
    <mergeCell ref="O101:P101"/>
    <mergeCell ref="Q101:U101"/>
    <mergeCell ref="A100:B100"/>
    <mergeCell ref="C100:E100"/>
    <mergeCell ref="F100:I100"/>
    <mergeCell ref="M100:N100"/>
    <mergeCell ref="O100:P100"/>
    <mergeCell ref="Q100:U100"/>
    <mergeCell ref="A99:B99"/>
    <mergeCell ref="C99:E99"/>
    <mergeCell ref="F99:I99"/>
    <mergeCell ref="M99:N99"/>
    <mergeCell ref="O99:P99"/>
    <mergeCell ref="Q99:U99"/>
    <mergeCell ref="A98:B98"/>
    <mergeCell ref="C98:E98"/>
    <mergeCell ref="F98:I98"/>
    <mergeCell ref="M98:N98"/>
    <mergeCell ref="O98:P98"/>
    <mergeCell ref="Q98:U98"/>
    <mergeCell ref="A116:B116"/>
    <mergeCell ref="C116:E116"/>
    <mergeCell ref="F116:I116"/>
    <mergeCell ref="M116:N116"/>
    <mergeCell ref="O116:P116"/>
    <mergeCell ref="Q116:U116"/>
    <mergeCell ref="A115:B115"/>
    <mergeCell ref="C115:E115"/>
    <mergeCell ref="F115:I115"/>
    <mergeCell ref="M115:N115"/>
    <mergeCell ref="O115:P115"/>
    <mergeCell ref="Q115:U115"/>
    <mergeCell ref="A114:B114"/>
    <mergeCell ref="C114:E114"/>
    <mergeCell ref="F114:I114"/>
    <mergeCell ref="M114:N114"/>
    <mergeCell ref="O114:P114"/>
    <mergeCell ref="Q114:U114"/>
    <mergeCell ref="A112:I112"/>
    <mergeCell ref="J112:K112"/>
    <mergeCell ref="L112:N112"/>
    <mergeCell ref="O112:U112"/>
    <mergeCell ref="A113:B113"/>
    <mergeCell ref="C113:E113"/>
    <mergeCell ref="F113:I113"/>
    <mergeCell ref="M113:N113"/>
    <mergeCell ref="O113:P113"/>
    <mergeCell ref="Q113:U113"/>
    <mergeCell ref="B108:G109"/>
    <mergeCell ref="H108:M108"/>
    <mergeCell ref="N108:S109"/>
    <mergeCell ref="T108:W109"/>
    <mergeCell ref="H109:M109"/>
    <mergeCell ref="B110:D110"/>
    <mergeCell ref="E110:Q111"/>
    <mergeCell ref="R110:S111"/>
    <mergeCell ref="T110:U111"/>
    <mergeCell ref="A122:B122"/>
    <mergeCell ref="C122:E122"/>
    <mergeCell ref="F122:I122"/>
    <mergeCell ref="M122:N122"/>
    <mergeCell ref="O122:P122"/>
    <mergeCell ref="Q122:U122"/>
    <mergeCell ref="A121:B121"/>
    <mergeCell ref="C121:E121"/>
    <mergeCell ref="F121:I121"/>
    <mergeCell ref="M121:N121"/>
    <mergeCell ref="O121:P121"/>
    <mergeCell ref="Q121:U121"/>
    <mergeCell ref="A120:B120"/>
    <mergeCell ref="C120:E120"/>
    <mergeCell ref="F120:I120"/>
    <mergeCell ref="M120:N120"/>
    <mergeCell ref="O120:P120"/>
    <mergeCell ref="Q120:U120"/>
    <mergeCell ref="A119:B119"/>
    <mergeCell ref="C119:E119"/>
    <mergeCell ref="F119:I119"/>
    <mergeCell ref="M119:N119"/>
    <mergeCell ref="O119:P119"/>
    <mergeCell ref="Q119:U119"/>
    <mergeCell ref="A118:B118"/>
    <mergeCell ref="C118:E118"/>
    <mergeCell ref="F118:I118"/>
    <mergeCell ref="M118:N118"/>
    <mergeCell ref="O118:P118"/>
    <mergeCell ref="Q118:U118"/>
    <mergeCell ref="A117:B117"/>
    <mergeCell ref="C117:E117"/>
    <mergeCell ref="F117:I117"/>
    <mergeCell ref="M117:N117"/>
    <mergeCell ref="O117:P117"/>
    <mergeCell ref="Q117:U117"/>
    <mergeCell ref="A128:B128"/>
    <mergeCell ref="C128:E128"/>
    <mergeCell ref="F128:I128"/>
    <mergeCell ref="M128:N128"/>
    <mergeCell ref="O128:P128"/>
    <mergeCell ref="Q128:U128"/>
    <mergeCell ref="A127:B127"/>
    <mergeCell ref="C127:E127"/>
    <mergeCell ref="F127:I127"/>
    <mergeCell ref="M127:N127"/>
    <mergeCell ref="O127:P127"/>
    <mergeCell ref="Q127:U127"/>
    <mergeCell ref="A126:B126"/>
    <mergeCell ref="C126:E126"/>
    <mergeCell ref="F126:I126"/>
    <mergeCell ref="M126:N126"/>
    <mergeCell ref="O126:P126"/>
    <mergeCell ref="Q126:U126"/>
    <mergeCell ref="A125:B125"/>
    <mergeCell ref="C125:E125"/>
    <mergeCell ref="F125:I125"/>
    <mergeCell ref="M125:N125"/>
    <mergeCell ref="O125:P125"/>
    <mergeCell ref="Q125:U125"/>
    <mergeCell ref="A124:B124"/>
    <mergeCell ref="C124:E124"/>
    <mergeCell ref="F124:I124"/>
    <mergeCell ref="M124:N124"/>
    <mergeCell ref="O124:P124"/>
    <mergeCell ref="Q124:U124"/>
    <mergeCell ref="A123:B123"/>
    <mergeCell ref="C123:E123"/>
    <mergeCell ref="F123:I123"/>
    <mergeCell ref="M123:N123"/>
    <mergeCell ref="O123:P123"/>
    <mergeCell ref="Q123:U123"/>
    <mergeCell ref="A134:B134"/>
    <mergeCell ref="C134:E134"/>
    <mergeCell ref="F134:I134"/>
    <mergeCell ref="M134:N134"/>
    <mergeCell ref="O134:P134"/>
    <mergeCell ref="Q134:U134"/>
    <mergeCell ref="A133:B133"/>
    <mergeCell ref="C133:E133"/>
    <mergeCell ref="F133:I133"/>
    <mergeCell ref="M133:N133"/>
    <mergeCell ref="O133:P133"/>
    <mergeCell ref="Q133:U133"/>
    <mergeCell ref="A132:B132"/>
    <mergeCell ref="C132:E132"/>
    <mergeCell ref="F132:I132"/>
    <mergeCell ref="M132:N132"/>
    <mergeCell ref="O132:P132"/>
    <mergeCell ref="Q132:U132"/>
    <mergeCell ref="A131:B131"/>
    <mergeCell ref="C131:E131"/>
    <mergeCell ref="F131:I131"/>
    <mergeCell ref="M131:N131"/>
    <mergeCell ref="O131:P131"/>
    <mergeCell ref="Q131:U131"/>
    <mergeCell ref="A130:B130"/>
    <mergeCell ref="C130:E130"/>
    <mergeCell ref="F130:I130"/>
    <mergeCell ref="M130:N130"/>
    <mergeCell ref="O130:P130"/>
    <mergeCell ref="Q130:U130"/>
    <mergeCell ref="A129:B129"/>
    <mergeCell ref="C129:E129"/>
    <mergeCell ref="F129:I129"/>
    <mergeCell ref="M129:N129"/>
    <mergeCell ref="O129:P129"/>
    <mergeCell ref="Q129:U129"/>
    <mergeCell ref="A140:B140"/>
    <mergeCell ref="C140:E140"/>
    <mergeCell ref="F140:I140"/>
    <mergeCell ref="M140:N140"/>
    <mergeCell ref="O140:P140"/>
    <mergeCell ref="Q140:U140"/>
    <mergeCell ref="A139:B139"/>
    <mergeCell ref="C139:E139"/>
    <mergeCell ref="F139:I139"/>
    <mergeCell ref="M139:N139"/>
    <mergeCell ref="O139:P139"/>
    <mergeCell ref="Q139:U139"/>
    <mergeCell ref="A138:B138"/>
    <mergeCell ref="C138:E138"/>
    <mergeCell ref="F138:I138"/>
    <mergeCell ref="M138:N138"/>
    <mergeCell ref="O138:P138"/>
    <mergeCell ref="Q138:U138"/>
    <mergeCell ref="A137:B137"/>
    <mergeCell ref="C137:E137"/>
    <mergeCell ref="F137:I137"/>
    <mergeCell ref="M137:N137"/>
    <mergeCell ref="O137:P137"/>
    <mergeCell ref="Q137:U137"/>
    <mergeCell ref="A136:B136"/>
    <mergeCell ref="C136:E136"/>
    <mergeCell ref="F136:I136"/>
    <mergeCell ref="M136:N136"/>
    <mergeCell ref="O136:P136"/>
    <mergeCell ref="Q136:U136"/>
    <mergeCell ref="A135:B135"/>
    <mergeCell ref="C135:E135"/>
    <mergeCell ref="F135:I135"/>
    <mergeCell ref="M135:N135"/>
    <mergeCell ref="O135:P135"/>
    <mergeCell ref="Q135:U135"/>
    <mergeCell ref="A146:B146"/>
    <mergeCell ref="C146:E146"/>
    <mergeCell ref="F146:I146"/>
    <mergeCell ref="M146:N146"/>
    <mergeCell ref="O146:P146"/>
    <mergeCell ref="Q146:U146"/>
    <mergeCell ref="A145:B145"/>
    <mergeCell ref="C145:E145"/>
    <mergeCell ref="F145:I145"/>
    <mergeCell ref="M145:N145"/>
    <mergeCell ref="O145:P145"/>
    <mergeCell ref="Q145:U145"/>
    <mergeCell ref="A144:B144"/>
    <mergeCell ref="C144:E144"/>
    <mergeCell ref="F144:I144"/>
    <mergeCell ref="M144:N144"/>
    <mergeCell ref="O144:P144"/>
    <mergeCell ref="Q144:U144"/>
    <mergeCell ref="A143:B143"/>
    <mergeCell ref="C143:E143"/>
    <mergeCell ref="F143:I143"/>
    <mergeCell ref="M143:N143"/>
    <mergeCell ref="O143:P143"/>
    <mergeCell ref="Q143:U143"/>
    <mergeCell ref="A142:B142"/>
    <mergeCell ref="C142:E142"/>
    <mergeCell ref="F142:I142"/>
    <mergeCell ref="M142:N142"/>
    <mergeCell ref="O142:P142"/>
    <mergeCell ref="Q142:U142"/>
    <mergeCell ref="A141:B141"/>
    <mergeCell ref="C141:E141"/>
    <mergeCell ref="F141:I141"/>
    <mergeCell ref="M141:N141"/>
    <mergeCell ref="O141:P141"/>
    <mergeCell ref="Q141:U141"/>
    <mergeCell ref="A152:B152"/>
    <mergeCell ref="C152:E152"/>
    <mergeCell ref="F152:I152"/>
    <mergeCell ref="M152:N152"/>
    <mergeCell ref="O152:P152"/>
    <mergeCell ref="Q152:U152"/>
    <mergeCell ref="A151:B151"/>
    <mergeCell ref="C151:E151"/>
    <mergeCell ref="F151:I151"/>
    <mergeCell ref="M151:N151"/>
    <mergeCell ref="O151:P151"/>
    <mergeCell ref="Q151:U151"/>
    <mergeCell ref="A150:B150"/>
    <mergeCell ref="C150:E150"/>
    <mergeCell ref="F150:I150"/>
    <mergeCell ref="M150:N150"/>
    <mergeCell ref="O150:P150"/>
    <mergeCell ref="Q150:U150"/>
    <mergeCell ref="A149:B149"/>
    <mergeCell ref="C149:E149"/>
    <mergeCell ref="F149:I149"/>
    <mergeCell ref="M149:N149"/>
    <mergeCell ref="O149:P149"/>
    <mergeCell ref="Q149:U149"/>
    <mergeCell ref="A148:B148"/>
    <mergeCell ref="C148:E148"/>
    <mergeCell ref="F148:I148"/>
    <mergeCell ref="M148:N148"/>
    <mergeCell ref="O148:P148"/>
    <mergeCell ref="Q148:U148"/>
    <mergeCell ref="A147:B147"/>
    <mergeCell ref="C147:E147"/>
    <mergeCell ref="F147:I147"/>
    <mergeCell ref="M147:N147"/>
    <mergeCell ref="O147:P147"/>
    <mergeCell ref="Q147:U147"/>
    <mergeCell ref="A164:I164"/>
    <mergeCell ref="J164:K164"/>
    <mergeCell ref="L164:N164"/>
    <mergeCell ref="O164:U164"/>
    <mergeCell ref="A165:B165"/>
    <mergeCell ref="C165:E165"/>
    <mergeCell ref="F165:I165"/>
    <mergeCell ref="M165:N165"/>
    <mergeCell ref="O165:P165"/>
    <mergeCell ref="Q165:U165"/>
    <mergeCell ref="B160:G161"/>
    <mergeCell ref="H160:M160"/>
    <mergeCell ref="N160:S161"/>
    <mergeCell ref="T160:W161"/>
    <mergeCell ref="H161:M161"/>
    <mergeCell ref="B162:D162"/>
    <mergeCell ref="E162:Q163"/>
    <mergeCell ref="R162:S163"/>
    <mergeCell ref="T162:U163"/>
    <mergeCell ref="S155:W155"/>
    <mergeCell ref="C156:T156"/>
    <mergeCell ref="A157:F159"/>
    <mergeCell ref="G157:T157"/>
    <mergeCell ref="G158:R158"/>
    <mergeCell ref="G159:Q159"/>
    <mergeCell ref="A154:B154"/>
    <mergeCell ref="C154:E154"/>
    <mergeCell ref="F154:I154"/>
    <mergeCell ref="M154:N154"/>
    <mergeCell ref="O154:P154"/>
    <mergeCell ref="Q154:U154"/>
    <mergeCell ref="A153:B153"/>
    <mergeCell ref="C153:E153"/>
    <mergeCell ref="F153:I153"/>
    <mergeCell ref="M153:N153"/>
    <mergeCell ref="O153:P153"/>
    <mergeCell ref="Q153:U153"/>
    <mergeCell ref="A171:B171"/>
    <mergeCell ref="C171:E171"/>
    <mergeCell ref="F171:I171"/>
    <mergeCell ref="M171:N171"/>
    <mergeCell ref="O171:P171"/>
    <mergeCell ref="Q171:U171"/>
    <mergeCell ref="A170:B170"/>
    <mergeCell ref="C170:E170"/>
    <mergeCell ref="F170:I170"/>
    <mergeCell ref="M170:N170"/>
    <mergeCell ref="O170:P170"/>
    <mergeCell ref="Q170:U170"/>
    <mergeCell ref="A169:B169"/>
    <mergeCell ref="C169:E169"/>
    <mergeCell ref="F169:I169"/>
    <mergeCell ref="M169:N169"/>
    <mergeCell ref="O169:P169"/>
    <mergeCell ref="Q169:U169"/>
    <mergeCell ref="A168:B168"/>
    <mergeCell ref="C168:E168"/>
    <mergeCell ref="F168:I168"/>
    <mergeCell ref="M168:N168"/>
    <mergeCell ref="O168:P168"/>
    <mergeCell ref="Q168:U168"/>
    <mergeCell ref="A167:B167"/>
    <mergeCell ref="C167:E167"/>
    <mergeCell ref="F167:I167"/>
    <mergeCell ref="M167:N167"/>
    <mergeCell ref="O167:P167"/>
    <mergeCell ref="Q167:U167"/>
    <mergeCell ref="A166:B166"/>
    <mergeCell ref="C166:E166"/>
    <mergeCell ref="F166:I166"/>
    <mergeCell ref="M166:N166"/>
    <mergeCell ref="O166:P166"/>
    <mergeCell ref="Q166:U166"/>
    <mergeCell ref="A177:B177"/>
    <mergeCell ref="C177:E177"/>
    <mergeCell ref="F177:I177"/>
    <mergeCell ref="M177:N177"/>
    <mergeCell ref="O177:P177"/>
    <mergeCell ref="Q177:U177"/>
    <mergeCell ref="A176:B176"/>
    <mergeCell ref="C176:E176"/>
    <mergeCell ref="F176:I176"/>
    <mergeCell ref="M176:N176"/>
    <mergeCell ref="O176:P176"/>
    <mergeCell ref="Q176:U176"/>
    <mergeCell ref="A175:B175"/>
    <mergeCell ref="C175:E175"/>
    <mergeCell ref="F175:I175"/>
    <mergeCell ref="M175:N175"/>
    <mergeCell ref="O175:P175"/>
    <mergeCell ref="Q175:U175"/>
    <mergeCell ref="A174:B174"/>
    <mergeCell ref="C174:E174"/>
    <mergeCell ref="F174:I174"/>
    <mergeCell ref="M174:N174"/>
    <mergeCell ref="O174:P174"/>
    <mergeCell ref="Q174:U174"/>
    <mergeCell ref="A173:B173"/>
    <mergeCell ref="C173:E173"/>
    <mergeCell ref="F173:I173"/>
    <mergeCell ref="M173:N173"/>
    <mergeCell ref="O173:P173"/>
    <mergeCell ref="Q173:U173"/>
    <mergeCell ref="A172:B172"/>
    <mergeCell ref="C172:E172"/>
    <mergeCell ref="F172:I172"/>
    <mergeCell ref="M172:N172"/>
    <mergeCell ref="O172:P172"/>
    <mergeCell ref="Q172:U172"/>
    <mergeCell ref="A183:B183"/>
    <mergeCell ref="C183:E183"/>
    <mergeCell ref="F183:I183"/>
    <mergeCell ref="M183:N183"/>
    <mergeCell ref="O183:P183"/>
    <mergeCell ref="Q183:U183"/>
    <mergeCell ref="A182:B182"/>
    <mergeCell ref="C182:E182"/>
    <mergeCell ref="F182:I182"/>
    <mergeCell ref="M182:N182"/>
    <mergeCell ref="O182:P182"/>
    <mergeCell ref="Q182:U182"/>
    <mergeCell ref="A181:B181"/>
    <mergeCell ref="C181:E181"/>
    <mergeCell ref="F181:I181"/>
    <mergeCell ref="M181:N181"/>
    <mergeCell ref="O181:P181"/>
    <mergeCell ref="Q181:U181"/>
    <mergeCell ref="A180:B180"/>
    <mergeCell ref="C180:E180"/>
    <mergeCell ref="F180:I180"/>
    <mergeCell ref="M180:N180"/>
    <mergeCell ref="O180:P180"/>
    <mergeCell ref="Q180:U180"/>
    <mergeCell ref="A179:B179"/>
    <mergeCell ref="C179:E179"/>
    <mergeCell ref="F179:I179"/>
    <mergeCell ref="M179:N179"/>
    <mergeCell ref="O179:P179"/>
    <mergeCell ref="Q179:U179"/>
    <mergeCell ref="A178:B178"/>
    <mergeCell ref="C178:E178"/>
    <mergeCell ref="F178:I178"/>
    <mergeCell ref="M178:N178"/>
    <mergeCell ref="O178:P178"/>
    <mergeCell ref="Q178:U178"/>
    <mergeCell ref="A189:B189"/>
    <mergeCell ref="C189:E189"/>
    <mergeCell ref="F189:I189"/>
    <mergeCell ref="M189:N189"/>
    <mergeCell ref="O189:P189"/>
    <mergeCell ref="Q189:U189"/>
    <mergeCell ref="A188:B188"/>
    <mergeCell ref="C188:E188"/>
    <mergeCell ref="F188:I188"/>
    <mergeCell ref="M188:N188"/>
    <mergeCell ref="O188:P188"/>
    <mergeCell ref="Q188:U188"/>
    <mergeCell ref="A187:B187"/>
    <mergeCell ref="C187:E187"/>
    <mergeCell ref="F187:I187"/>
    <mergeCell ref="M187:N187"/>
    <mergeCell ref="O187:P187"/>
    <mergeCell ref="Q187:U187"/>
    <mergeCell ref="A186:B186"/>
    <mergeCell ref="C186:E186"/>
    <mergeCell ref="F186:I186"/>
    <mergeCell ref="M186:N186"/>
    <mergeCell ref="O186:P186"/>
    <mergeCell ref="Q186:U186"/>
    <mergeCell ref="A185:B185"/>
    <mergeCell ref="C185:E185"/>
    <mergeCell ref="F185:I185"/>
    <mergeCell ref="M185:N185"/>
    <mergeCell ref="O185:P185"/>
    <mergeCell ref="Q185:U185"/>
    <mergeCell ref="A184:B184"/>
    <mergeCell ref="C184:E184"/>
    <mergeCell ref="F184:I184"/>
    <mergeCell ref="M184:N184"/>
    <mergeCell ref="O184:P184"/>
    <mergeCell ref="Q184:U184"/>
    <mergeCell ref="A195:B195"/>
    <mergeCell ref="C195:E195"/>
    <mergeCell ref="F195:I195"/>
    <mergeCell ref="M195:N195"/>
    <mergeCell ref="O195:P195"/>
    <mergeCell ref="Q195:U195"/>
    <mergeCell ref="A194:B194"/>
    <mergeCell ref="C194:E194"/>
    <mergeCell ref="F194:I194"/>
    <mergeCell ref="M194:N194"/>
    <mergeCell ref="O194:P194"/>
    <mergeCell ref="Q194:U194"/>
    <mergeCell ref="A193:B193"/>
    <mergeCell ref="C193:E193"/>
    <mergeCell ref="F193:I193"/>
    <mergeCell ref="M193:N193"/>
    <mergeCell ref="O193:P193"/>
    <mergeCell ref="Q193:U193"/>
    <mergeCell ref="A192:B192"/>
    <mergeCell ref="C192:E192"/>
    <mergeCell ref="F192:I192"/>
    <mergeCell ref="M192:N192"/>
    <mergeCell ref="O192:P192"/>
    <mergeCell ref="Q192:U192"/>
    <mergeCell ref="A191:B191"/>
    <mergeCell ref="C191:E191"/>
    <mergeCell ref="F191:I191"/>
    <mergeCell ref="M191:N191"/>
    <mergeCell ref="O191:P191"/>
    <mergeCell ref="Q191:U191"/>
    <mergeCell ref="A190:B190"/>
    <mergeCell ref="C190:E190"/>
    <mergeCell ref="F190:I190"/>
    <mergeCell ref="M190:N190"/>
    <mergeCell ref="O190:P190"/>
    <mergeCell ref="Q190:U190"/>
    <mergeCell ref="A201:B201"/>
    <mergeCell ref="C201:E201"/>
    <mergeCell ref="F201:I201"/>
    <mergeCell ref="M201:N201"/>
    <mergeCell ref="O201:P201"/>
    <mergeCell ref="Q201:U201"/>
    <mergeCell ref="A200:B200"/>
    <mergeCell ref="C200:E200"/>
    <mergeCell ref="F200:I200"/>
    <mergeCell ref="M200:N200"/>
    <mergeCell ref="O200:P200"/>
    <mergeCell ref="Q200:U200"/>
    <mergeCell ref="A199:B199"/>
    <mergeCell ref="C199:E199"/>
    <mergeCell ref="F199:I199"/>
    <mergeCell ref="M199:N199"/>
    <mergeCell ref="O199:P199"/>
    <mergeCell ref="Q199:U199"/>
    <mergeCell ref="A198:B198"/>
    <mergeCell ref="C198:E198"/>
    <mergeCell ref="F198:I198"/>
    <mergeCell ref="M198:N198"/>
    <mergeCell ref="O198:P198"/>
    <mergeCell ref="Q198:U198"/>
    <mergeCell ref="A197:B197"/>
    <mergeCell ref="C197:E197"/>
    <mergeCell ref="F197:I197"/>
    <mergeCell ref="M197:N197"/>
    <mergeCell ref="O197:P197"/>
    <mergeCell ref="Q197:U197"/>
    <mergeCell ref="A196:B196"/>
    <mergeCell ref="C196:E196"/>
    <mergeCell ref="F196:I196"/>
    <mergeCell ref="M196:N196"/>
    <mergeCell ref="O196:P196"/>
    <mergeCell ref="Q196:U196"/>
    <mergeCell ref="B211:G212"/>
    <mergeCell ref="H211:M211"/>
    <mergeCell ref="N211:S212"/>
    <mergeCell ref="T211:W212"/>
    <mergeCell ref="H212:M212"/>
    <mergeCell ref="B213:D213"/>
    <mergeCell ref="E213:Q214"/>
    <mergeCell ref="R213:S214"/>
    <mergeCell ref="T213:U214"/>
    <mergeCell ref="S206:W206"/>
    <mergeCell ref="C207:T207"/>
    <mergeCell ref="A208:F210"/>
    <mergeCell ref="G208:T208"/>
    <mergeCell ref="G209:R209"/>
    <mergeCell ref="G210:Q210"/>
    <mergeCell ref="A204:B204"/>
    <mergeCell ref="C204:E204"/>
    <mergeCell ref="F204:I204"/>
    <mergeCell ref="M204:N204"/>
    <mergeCell ref="O204:P204"/>
    <mergeCell ref="Q204:U204"/>
    <mergeCell ref="A203:B203"/>
    <mergeCell ref="C203:E203"/>
    <mergeCell ref="F203:I203"/>
    <mergeCell ref="M203:N203"/>
    <mergeCell ref="O203:P203"/>
    <mergeCell ref="Q203:U203"/>
    <mergeCell ref="A202:B202"/>
    <mergeCell ref="C202:E202"/>
    <mergeCell ref="F202:I202"/>
    <mergeCell ref="M202:N202"/>
    <mergeCell ref="O202:P202"/>
    <mergeCell ref="Q202:U202"/>
    <mergeCell ref="A221:B221"/>
    <mergeCell ref="C221:E221"/>
    <mergeCell ref="F221:I221"/>
    <mergeCell ref="M221:N221"/>
    <mergeCell ref="O221:P221"/>
    <mergeCell ref="Q221:U221"/>
    <mergeCell ref="A220:B220"/>
    <mergeCell ref="C220:E220"/>
    <mergeCell ref="F220:I220"/>
    <mergeCell ref="M220:N220"/>
    <mergeCell ref="O220:P220"/>
    <mergeCell ref="Q220:U220"/>
    <mergeCell ref="A219:B219"/>
    <mergeCell ref="C219:E219"/>
    <mergeCell ref="F219:I219"/>
    <mergeCell ref="M219:N219"/>
    <mergeCell ref="O219:P219"/>
    <mergeCell ref="Q219:U219"/>
    <mergeCell ref="A218:B218"/>
    <mergeCell ref="C218:E218"/>
    <mergeCell ref="F218:I218"/>
    <mergeCell ref="M218:N218"/>
    <mergeCell ref="O218:P218"/>
    <mergeCell ref="Q218:U218"/>
    <mergeCell ref="A217:B217"/>
    <mergeCell ref="C217:E217"/>
    <mergeCell ref="F217:I217"/>
    <mergeCell ref="M217:N217"/>
    <mergeCell ref="O217:P217"/>
    <mergeCell ref="Q217:U217"/>
    <mergeCell ref="A215:I215"/>
    <mergeCell ref="J215:K215"/>
    <mergeCell ref="L215:N215"/>
    <mergeCell ref="O215:U215"/>
    <mergeCell ref="A216:B216"/>
    <mergeCell ref="C216:E216"/>
    <mergeCell ref="F216:I216"/>
    <mergeCell ref="M216:N216"/>
    <mergeCell ref="O216:P216"/>
    <mergeCell ref="Q216:U216"/>
    <mergeCell ref="A227:B227"/>
    <mergeCell ref="C227:E227"/>
    <mergeCell ref="F227:I227"/>
    <mergeCell ref="M227:N227"/>
    <mergeCell ref="O227:P227"/>
    <mergeCell ref="Q227:U227"/>
    <mergeCell ref="A226:B226"/>
    <mergeCell ref="C226:E226"/>
    <mergeCell ref="F226:I226"/>
    <mergeCell ref="M226:N226"/>
    <mergeCell ref="O226:P226"/>
    <mergeCell ref="Q226:U226"/>
    <mergeCell ref="A225:B225"/>
    <mergeCell ref="C225:E225"/>
    <mergeCell ref="F225:I225"/>
    <mergeCell ref="M225:N225"/>
    <mergeCell ref="O225:P225"/>
    <mergeCell ref="Q225:U225"/>
    <mergeCell ref="A224:B224"/>
    <mergeCell ref="C224:E224"/>
    <mergeCell ref="F224:I224"/>
    <mergeCell ref="M224:N224"/>
    <mergeCell ref="O224:P224"/>
    <mergeCell ref="Q224:U224"/>
    <mergeCell ref="A223:B223"/>
    <mergeCell ref="C223:E223"/>
    <mergeCell ref="F223:I223"/>
    <mergeCell ref="M223:N223"/>
    <mergeCell ref="O223:P223"/>
    <mergeCell ref="Q223:U223"/>
    <mergeCell ref="A222:B222"/>
    <mergeCell ref="C222:E222"/>
    <mergeCell ref="F222:I222"/>
    <mergeCell ref="M222:N222"/>
    <mergeCell ref="O222:P222"/>
    <mergeCell ref="Q222:U222"/>
    <mergeCell ref="A233:B233"/>
    <mergeCell ref="C233:E233"/>
    <mergeCell ref="F233:I233"/>
    <mergeCell ref="M233:N233"/>
    <mergeCell ref="O233:P233"/>
    <mergeCell ref="Q233:U233"/>
    <mergeCell ref="A232:B232"/>
    <mergeCell ref="C232:E232"/>
    <mergeCell ref="F232:I232"/>
    <mergeCell ref="M232:N232"/>
    <mergeCell ref="O232:P232"/>
    <mergeCell ref="Q232:U232"/>
    <mergeCell ref="A231:B231"/>
    <mergeCell ref="C231:E231"/>
    <mergeCell ref="F231:I231"/>
    <mergeCell ref="M231:N231"/>
    <mergeCell ref="O231:P231"/>
    <mergeCell ref="Q231:U231"/>
    <mergeCell ref="A230:B230"/>
    <mergeCell ref="C230:E230"/>
    <mergeCell ref="F230:I230"/>
    <mergeCell ref="M230:N230"/>
    <mergeCell ref="O230:P230"/>
    <mergeCell ref="Q230:U230"/>
    <mergeCell ref="A229:B229"/>
    <mergeCell ref="C229:E229"/>
    <mergeCell ref="F229:I229"/>
    <mergeCell ref="M229:N229"/>
    <mergeCell ref="O229:P229"/>
    <mergeCell ref="Q229:U229"/>
    <mergeCell ref="A228:B228"/>
    <mergeCell ref="C228:E228"/>
    <mergeCell ref="F228:I228"/>
    <mergeCell ref="M228:N228"/>
    <mergeCell ref="O228:P228"/>
    <mergeCell ref="Q228:U228"/>
    <mergeCell ref="A239:B239"/>
    <mergeCell ref="C239:E239"/>
    <mergeCell ref="F239:I239"/>
    <mergeCell ref="M239:N239"/>
    <mergeCell ref="O239:P239"/>
    <mergeCell ref="Q239:U239"/>
    <mergeCell ref="A238:B238"/>
    <mergeCell ref="C238:E238"/>
    <mergeCell ref="F238:I238"/>
    <mergeCell ref="M238:N238"/>
    <mergeCell ref="O238:P238"/>
    <mergeCell ref="Q238:U238"/>
    <mergeCell ref="A237:B237"/>
    <mergeCell ref="C237:E237"/>
    <mergeCell ref="F237:I237"/>
    <mergeCell ref="M237:N237"/>
    <mergeCell ref="O237:P237"/>
    <mergeCell ref="Q237:U237"/>
    <mergeCell ref="A236:B236"/>
    <mergeCell ref="C236:E236"/>
    <mergeCell ref="F236:I236"/>
    <mergeCell ref="M236:N236"/>
    <mergeCell ref="O236:P236"/>
    <mergeCell ref="Q236:U236"/>
    <mergeCell ref="A235:B235"/>
    <mergeCell ref="C235:E235"/>
    <mergeCell ref="F235:I235"/>
    <mergeCell ref="M235:N235"/>
    <mergeCell ref="O235:P235"/>
    <mergeCell ref="Q235:U235"/>
    <mergeCell ref="A234:B234"/>
    <mergeCell ref="C234:E234"/>
    <mergeCell ref="F234:I234"/>
    <mergeCell ref="M234:N234"/>
    <mergeCell ref="O234:P234"/>
    <mergeCell ref="Q234:U234"/>
    <mergeCell ref="A245:B245"/>
    <mergeCell ref="C245:E245"/>
    <mergeCell ref="F245:I245"/>
    <mergeCell ref="M245:N245"/>
    <mergeCell ref="O245:P245"/>
    <mergeCell ref="Q245:U245"/>
    <mergeCell ref="A244:B244"/>
    <mergeCell ref="C244:E244"/>
    <mergeCell ref="F244:I244"/>
    <mergeCell ref="M244:N244"/>
    <mergeCell ref="O244:P244"/>
    <mergeCell ref="Q244:U244"/>
    <mergeCell ref="A243:B243"/>
    <mergeCell ref="C243:E243"/>
    <mergeCell ref="F243:I243"/>
    <mergeCell ref="M243:N243"/>
    <mergeCell ref="O243:P243"/>
    <mergeCell ref="Q243:U243"/>
    <mergeCell ref="A242:B242"/>
    <mergeCell ref="C242:E242"/>
    <mergeCell ref="F242:I242"/>
    <mergeCell ref="M242:N242"/>
    <mergeCell ref="O242:P242"/>
    <mergeCell ref="Q242:U242"/>
    <mergeCell ref="A241:B241"/>
    <mergeCell ref="C241:E241"/>
    <mergeCell ref="F241:I241"/>
    <mergeCell ref="M241:N241"/>
    <mergeCell ref="O241:P241"/>
    <mergeCell ref="Q241:U241"/>
    <mergeCell ref="A240:B240"/>
    <mergeCell ref="C240:E240"/>
    <mergeCell ref="F240:I240"/>
    <mergeCell ref="M240:N240"/>
    <mergeCell ref="O240:P240"/>
    <mergeCell ref="Q240:U240"/>
    <mergeCell ref="A251:B251"/>
    <mergeCell ref="C251:E251"/>
    <mergeCell ref="F251:I251"/>
    <mergeCell ref="M251:N251"/>
    <mergeCell ref="O251:P251"/>
    <mergeCell ref="Q251:U251"/>
    <mergeCell ref="A250:B250"/>
    <mergeCell ref="C250:E250"/>
    <mergeCell ref="F250:I250"/>
    <mergeCell ref="M250:N250"/>
    <mergeCell ref="O250:P250"/>
    <mergeCell ref="Q250:U250"/>
    <mergeCell ref="A249:B249"/>
    <mergeCell ref="C249:E249"/>
    <mergeCell ref="F249:I249"/>
    <mergeCell ref="M249:N249"/>
    <mergeCell ref="O249:P249"/>
    <mergeCell ref="Q249:U249"/>
    <mergeCell ref="A248:B248"/>
    <mergeCell ref="C248:E248"/>
    <mergeCell ref="F248:I248"/>
    <mergeCell ref="M248:N248"/>
    <mergeCell ref="O248:P248"/>
    <mergeCell ref="Q248:U248"/>
    <mergeCell ref="A247:B247"/>
    <mergeCell ref="C247:E247"/>
    <mergeCell ref="F247:I247"/>
    <mergeCell ref="M247:N247"/>
    <mergeCell ref="O247:P247"/>
    <mergeCell ref="Q247:U247"/>
    <mergeCell ref="A246:B246"/>
    <mergeCell ref="C246:E246"/>
    <mergeCell ref="F246:I246"/>
    <mergeCell ref="M246:N246"/>
    <mergeCell ref="O246:P246"/>
    <mergeCell ref="Q246:U246"/>
    <mergeCell ref="B261:G262"/>
    <mergeCell ref="H261:M261"/>
    <mergeCell ref="N261:S262"/>
    <mergeCell ref="T261:W262"/>
    <mergeCell ref="H262:M262"/>
    <mergeCell ref="B263:D263"/>
    <mergeCell ref="E263:Q264"/>
    <mergeCell ref="R263:S264"/>
    <mergeCell ref="T263:U264"/>
    <mergeCell ref="S256:W256"/>
    <mergeCell ref="C257:T257"/>
    <mergeCell ref="A258:F260"/>
    <mergeCell ref="G258:T258"/>
    <mergeCell ref="G259:R259"/>
    <mergeCell ref="G260:Q260"/>
    <mergeCell ref="A254:B254"/>
    <mergeCell ref="C254:E254"/>
    <mergeCell ref="F254:I254"/>
    <mergeCell ref="M254:N254"/>
    <mergeCell ref="O254:P254"/>
    <mergeCell ref="Q254:U254"/>
    <mergeCell ref="A253:B253"/>
    <mergeCell ref="C253:E253"/>
    <mergeCell ref="F253:I253"/>
    <mergeCell ref="M253:N253"/>
    <mergeCell ref="O253:P253"/>
    <mergeCell ref="Q253:U253"/>
    <mergeCell ref="A252:B252"/>
    <mergeCell ref="C252:E252"/>
    <mergeCell ref="F252:I252"/>
    <mergeCell ref="M252:N252"/>
    <mergeCell ref="O252:P252"/>
    <mergeCell ref="Q252:U252"/>
    <mergeCell ref="A271:B271"/>
    <mergeCell ref="C271:E271"/>
    <mergeCell ref="F271:I271"/>
    <mergeCell ref="M271:N271"/>
    <mergeCell ref="O271:P271"/>
    <mergeCell ref="Q271:U271"/>
    <mergeCell ref="A270:B270"/>
    <mergeCell ref="C270:E270"/>
    <mergeCell ref="F270:I270"/>
    <mergeCell ref="M270:N270"/>
    <mergeCell ref="O270:P270"/>
    <mergeCell ref="Q270:U270"/>
    <mergeCell ref="A269:B269"/>
    <mergeCell ref="C269:E269"/>
    <mergeCell ref="F269:I269"/>
    <mergeCell ref="M269:N269"/>
    <mergeCell ref="O269:P269"/>
    <mergeCell ref="Q269:U269"/>
    <mergeCell ref="A268:B268"/>
    <mergeCell ref="C268:E268"/>
    <mergeCell ref="F268:I268"/>
    <mergeCell ref="M268:N268"/>
    <mergeCell ref="O268:P268"/>
    <mergeCell ref="Q268:U268"/>
    <mergeCell ref="A267:B267"/>
    <mergeCell ref="C267:E267"/>
    <mergeCell ref="F267:I267"/>
    <mergeCell ref="M267:N267"/>
    <mergeCell ref="O267:P267"/>
    <mergeCell ref="Q267:U267"/>
    <mergeCell ref="A265:I265"/>
    <mergeCell ref="J265:K265"/>
    <mergeCell ref="L265:N265"/>
    <mergeCell ref="O265:U265"/>
    <mergeCell ref="A266:B266"/>
    <mergeCell ref="C266:E266"/>
    <mergeCell ref="F266:I266"/>
    <mergeCell ref="M266:N266"/>
    <mergeCell ref="O266:P266"/>
    <mergeCell ref="Q266:U266"/>
    <mergeCell ref="A277:B277"/>
    <mergeCell ref="C277:E277"/>
    <mergeCell ref="F277:I277"/>
    <mergeCell ref="M277:N277"/>
    <mergeCell ref="O277:P277"/>
    <mergeCell ref="Q277:U277"/>
    <mergeCell ref="A276:B276"/>
    <mergeCell ref="C276:E276"/>
    <mergeCell ref="F276:I276"/>
    <mergeCell ref="M276:N276"/>
    <mergeCell ref="O276:P276"/>
    <mergeCell ref="Q276:U276"/>
    <mergeCell ref="A275:B275"/>
    <mergeCell ref="C275:E275"/>
    <mergeCell ref="F275:I275"/>
    <mergeCell ref="M275:N275"/>
    <mergeCell ref="O275:P275"/>
    <mergeCell ref="Q275:U275"/>
    <mergeCell ref="A274:B274"/>
    <mergeCell ref="C274:E274"/>
    <mergeCell ref="F274:I274"/>
    <mergeCell ref="M274:N274"/>
    <mergeCell ref="O274:P274"/>
    <mergeCell ref="Q274:U274"/>
    <mergeCell ref="A273:B273"/>
    <mergeCell ref="C273:E273"/>
    <mergeCell ref="F273:I273"/>
    <mergeCell ref="M273:N273"/>
    <mergeCell ref="O273:P273"/>
    <mergeCell ref="Q273:U273"/>
    <mergeCell ref="A272:B272"/>
    <mergeCell ref="C272:E272"/>
    <mergeCell ref="F272:I272"/>
    <mergeCell ref="M272:N272"/>
    <mergeCell ref="O272:P272"/>
    <mergeCell ref="Q272:U272"/>
    <mergeCell ref="A283:B283"/>
    <mergeCell ref="C283:E283"/>
    <mergeCell ref="F283:I283"/>
    <mergeCell ref="M283:N283"/>
    <mergeCell ref="O283:P283"/>
    <mergeCell ref="Q283:U283"/>
    <mergeCell ref="A282:B282"/>
    <mergeCell ref="C282:E282"/>
    <mergeCell ref="F282:I282"/>
    <mergeCell ref="M282:N282"/>
    <mergeCell ref="O282:P282"/>
    <mergeCell ref="Q282:U282"/>
    <mergeCell ref="A281:B281"/>
    <mergeCell ref="C281:E281"/>
    <mergeCell ref="F281:I281"/>
    <mergeCell ref="M281:N281"/>
    <mergeCell ref="O281:P281"/>
    <mergeCell ref="Q281:U281"/>
    <mergeCell ref="A280:B280"/>
    <mergeCell ref="C280:E280"/>
    <mergeCell ref="F280:I280"/>
    <mergeCell ref="M280:N280"/>
    <mergeCell ref="O280:P280"/>
    <mergeCell ref="Q280:U280"/>
    <mergeCell ref="A279:B279"/>
    <mergeCell ref="C279:E279"/>
    <mergeCell ref="F279:I279"/>
    <mergeCell ref="M279:N279"/>
    <mergeCell ref="O279:P279"/>
    <mergeCell ref="Q279:U279"/>
    <mergeCell ref="A278:B278"/>
    <mergeCell ref="C278:E278"/>
    <mergeCell ref="F278:I278"/>
    <mergeCell ref="M278:N278"/>
    <mergeCell ref="O278:P278"/>
    <mergeCell ref="Q278:U278"/>
    <mergeCell ref="A289:B289"/>
    <mergeCell ref="C289:E289"/>
    <mergeCell ref="F289:I289"/>
    <mergeCell ref="M289:N289"/>
    <mergeCell ref="O289:P289"/>
    <mergeCell ref="Q289:U289"/>
    <mergeCell ref="A288:B288"/>
    <mergeCell ref="C288:E288"/>
    <mergeCell ref="F288:I288"/>
    <mergeCell ref="M288:N288"/>
    <mergeCell ref="O288:P288"/>
    <mergeCell ref="Q288:U288"/>
    <mergeCell ref="A287:B287"/>
    <mergeCell ref="C287:E287"/>
    <mergeCell ref="F287:I287"/>
    <mergeCell ref="M287:N287"/>
    <mergeCell ref="O287:P287"/>
    <mergeCell ref="Q287:U287"/>
    <mergeCell ref="A286:B286"/>
    <mergeCell ref="C286:E286"/>
    <mergeCell ref="F286:I286"/>
    <mergeCell ref="M286:N286"/>
    <mergeCell ref="O286:P286"/>
    <mergeCell ref="Q286:U286"/>
    <mergeCell ref="A285:B285"/>
    <mergeCell ref="C285:E285"/>
    <mergeCell ref="F285:I285"/>
    <mergeCell ref="M285:N285"/>
    <mergeCell ref="O285:P285"/>
    <mergeCell ref="Q285:U285"/>
    <mergeCell ref="A284:B284"/>
    <mergeCell ref="C284:E284"/>
    <mergeCell ref="F284:I284"/>
    <mergeCell ref="M284:N284"/>
    <mergeCell ref="O284:P284"/>
    <mergeCell ref="Q284:U284"/>
    <mergeCell ref="A295:B295"/>
    <mergeCell ref="C295:E295"/>
    <mergeCell ref="F295:I295"/>
    <mergeCell ref="M295:N295"/>
    <mergeCell ref="O295:P295"/>
    <mergeCell ref="Q295:U295"/>
    <mergeCell ref="A294:B294"/>
    <mergeCell ref="C294:E294"/>
    <mergeCell ref="F294:I294"/>
    <mergeCell ref="M294:N294"/>
    <mergeCell ref="O294:P294"/>
    <mergeCell ref="Q294:U294"/>
    <mergeCell ref="A293:B293"/>
    <mergeCell ref="C293:E293"/>
    <mergeCell ref="F293:I293"/>
    <mergeCell ref="M293:N293"/>
    <mergeCell ref="O293:P293"/>
    <mergeCell ref="Q293:U293"/>
    <mergeCell ref="A292:B292"/>
    <mergeCell ref="C292:E292"/>
    <mergeCell ref="F292:I292"/>
    <mergeCell ref="M292:N292"/>
    <mergeCell ref="O292:P292"/>
    <mergeCell ref="Q292:U292"/>
    <mergeCell ref="A291:B291"/>
    <mergeCell ref="C291:E291"/>
    <mergeCell ref="F291:I291"/>
    <mergeCell ref="M291:N291"/>
    <mergeCell ref="O291:P291"/>
    <mergeCell ref="Q291:U291"/>
    <mergeCell ref="A290:B290"/>
    <mergeCell ref="C290:E290"/>
    <mergeCell ref="F290:I290"/>
    <mergeCell ref="M290:N290"/>
    <mergeCell ref="O290:P290"/>
    <mergeCell ref="Q290:U290"/>
    <mergeCell ref="A301:B301"/>
    <mergeCell ref="C301:E301"/>
    <mergeCell ref="F301:I301"/>
    <mergeCell ref="M301:N301"/>
    <mergeCell ref="O301:P301"/>
    <mergeCell ref="Q301:U301"/>
    <mergeCell ref="A300:B300"/>
    <mergeCell ref="C300:E300"/>
    <mergeCell ref="F300:I300"/>
    <mergeCell ref="M300:N300"/>
    <mergeCell ref="O300:P300"/>
    <mergeCell ref="Q300:U300"/>
    <mergeCell ref="A299:B299"/>
    <mergeCell ref="C299:E299"/>
    <mergeCell ref="F299:I299"/>
    <mergeCell ref="M299:N299"/>
    <mergeCell ref="O299:P299"/>
    <mergeCell ref="Q299:U299"/>
    <mergeCell ref="A298:B298"/>
    <mergeCell ref="C298:E298"/>
    <mergeCell ref="F298:I298"/>
    <mergeCell ref="M298:N298"/>
    <mergeCell ref="O298:P298"/>
    <mergeCell ref="Q298:U298"/>
    <mergeCell ref="A297:B297"/>
    <mergeCell ref="C297:E297"/>
    <mergeCell ref="F297:I297"/>
    <mergeCell ref="M297:N297"/>
    <mergeCell ref="O297:P297"/>
    <mergeCell ref="Q297:U297"/>
    <mergeCell ref="A296:B296"/>
    <mergeCell ref="C296:E296"/>
    <mergeCell ref="F296:I296"/>
    <mergeCell ref="M296:N296"/>
    <mergeCell ref="O296:P296"/>
    <mergeCell ref="Q296:U296"/>
    <mergeCell ref="B311:G312"/>
    <mergeCell ref="H311:M311"/>
    <mergeCell ref="N311:S312"/>
    <mergeCell ref="T311:W312"/>
    <mergeCell ref="H312:M312"/>
    <mergeCell ref="B313:D313"/>
    <mergeCell ref="E313:Q314"/>
    <mergeCell ref="R313:S314"/>
    <mergeCell ref="T313:U314"/>
    <mergeCell ref="S306:W306"/>
    <mergeCell ref="C307:T307"/>
    <mergeCell ref="A308:F310"/>
    <mergeCell ref="G308:T308"/>
    <mergeCell ref="G309:R309"/>
    <mergeCell ref="G310:Q310"/>
    <mergeCell ref="A304:B304"/>
    <mergeCell ref="C304:E304"/>
    <mergeCell ref="F304:I304"/>
    <mergeCell ref="M304:N304"/>
    <mergeCell ref="O304:P304"/>
    <mergeCell ref="Q304:U304"/>
    <mergeCell ref="A303:B303"/>
    <mergeCell ref="C303:E303"/>
    <mergeCell ref="F303:I303"/>
    <mergeCell ref="M303:N303"/>
    <mergeCell ref="O303:P303"/>
    <mergeCell ref="Q303:U303"/>
    <mergeCell ref="A302:B302"/>
    <mergeCell ref="C302:E302"/>
    <mergeCell ref="F302:I302"/>
    <mergeCell ref="M302:N302"/>
    <mergeCell ref="O302:P302"/>
    <mergeCell ref="Q302:U302"/>
    <mergeCell ref="A321:B321"/>
    <mergeCell ref="C321:E321"/>
    <mergeCell ref="F321:I321"/>
    <mergeCell ref="M321:N321"/>
    <mergeCell ref="O321:P321"/>
    <mergeCell ref="Q321:U321"/>
    <mergeCell ref="A320:B320"/>
    <mergeCell ref="C320:E320"/>
    <mergeCell ref="F320:I320"/>
    <mergeCell ref="M320:N320"/>
    <mergeCell ref="O320:P320"/>
    <mergeCell ref="Q320:U320"/>
    <mergeCell ref="A319:B319"/>
    <mergeCell ref="C319:E319"/>
    <mergeCell ref="F319:I319"/>
    <mergeCell ref="M319:N319"/>
    <mergeCell ref="O319:P319"/>
    <mergeCell ref="Q319:U319"/>
    <mergeCell ref="A318:B318"/>
    <mergeCell ref="C318:E318"/>
    <mergeCell ref="F318:I318"/>
    <mergeCell ref="M318:N318"/>
    <mergeCell ref="O318:P318"/>
    <mergeCell ref="Q318:U318"/>
    <mergeCell ref="A317:B317"/>
    <mergeCell ref="C317:E317"/>
    <mergeCell ref="F317:I317"/>
    <mergeCell ref="M317:N317"/>
    <mergeCell ref="O317:P317"/>
    <mergeCell ref="Q317:U317"/>
    <mergeCell ref="A315:I315"/>
    <mergeCell ref="J315:K315"/>
    <mergeCell ref="L315:N315"/>
    <mergeCell ref="O315:U315"/>
    <mergeCell ref="A316:B316"/>
    <mergeCell ref="C316:E316"/>
    <mergeCell ref="F316:I316"/>
    <mergeCell ref="M316:N316"/>
    <mergeCell ref="O316:P316"/>
    <mergeCell ref="Q316:U316"/>
    <mergeCell ref="A327:B327"/>
    <mergeCell ref="C327:E327"/>
    <mergeCell ref="F327:I327"/>
    <mergeCell ref="M327:N327"/>
    <mergeCell ref="O327:P327"/>
    <mergeCell ref="Q327:U327"/>
    <mergeCell ref="A326:B326"/>
    <mergeCell ref="C326:E326"/>
    <mergeCell ref="F326:I326"/>
    <mergeCell ref="M326:N326"/>
    <mergeCell ref="O326:P326"/>
    <mergeCell ref="Q326:U326"/>
    <mergeCell ref="A325:B325"/>
    <mergeCell ref="C325:E325"/>
    <mergeCell ref="F325:I325"/>
    <mergeCell ref="M325:N325"/>
    <mergeCell ref="O325:P325"/>
    <mergeCell ref="Q325:U325"/>
    <mergeCell ref="A324:B324"/>
    <mergeCell ref="C324:E324"/>
    <mergeCell ref="F324:I324"/>
    <mergeCell ref="M324:N324"/>
    <mergeCell ref="O324:P324"/>
    <mergeCell ref="Q324:U324"/>
    <mergeCell ref="A323:B323"/>
    <mergeCell ref="C323:E323"/>
    <mergeCell ref="F323:I323"/>
    <mergeCell ref="M323:N323"/>
    <mergeCell ref="O323:P323"/>
    <mergeCell ref="Q323:U323"/>
    <mergeCell ref="A322:B322"/>
    <mergeCell ref="C322:E322"/>
    <mergeCell ref="F322:I322"/>
    <mergeCell ref="M322:N322"/>
    <mergeCell ref="O322:P322"/>
    <mergeCell ref="Q322:U322"/>
    <mergeCell ref="A333:B333"/>
    <mergeCell ref="C333:E333"/>
    <mergeCell ref="F333:I333"/>
    <mergeCell ref="M333:N333"/>
    <mergeCell ref="O333:P333"/>
    <mergeCell ref="Q333:U333"/>
    <mergeCell ref="A332:B332"/>
    <mergeCell ref="C332:E332"/>
    <mergeCell ref="F332:I332"/>
    <mergeCell ref="M332:N332"/>
    <mergeCell ref="O332:P332"/>
    <mergeCell ref="Q332:U332"/>
    <mergeCell ref="A331:B331"/>
    <mergeCell ref="C331:E331"/>
    <mergeCell ref="F331:I331"/>
    <mergeCell ref="M331:N331"/>
    <mergeCell ref="O331:P331"/>
    <mergeCell ref="Q331:U331"/>
    <mergeCell ref="A330:B330"/>
    <mergeCell ref="C330:E330"/>
    <mergeCell ref="F330:I330"/>
    <mergeCell ref="M330:N330"/>
    <mergeCell ref="O330:P330"/>
    <mergeCell ref="Q330:U330"/>
    <mergeCell ref="A329:B329"/>
    <mergeCell ref="C329:E329"/>
    <mergeCell ref="F329:I329"/>
    <mergeCell ref="M329:N329"/>
    <mergeCell ref="O329:P329"/>
    <mergeCell ref="Q329:U329"/>
    <mergeCell ref="A328:B328"/>
    <mergeCell ref="C328:E328"/>
    <mergeCell ref="F328:I328"/>
    <mergeCell ref="M328:N328"/>
    <mergeCell ref="O328:P328"/>
    <mergeCell ref="Q328:U328"/>
    <mergeCell ref="A339:B339"/>
    <mergeCell ref="C339:E339"/>
    <mergeCell ref="F339:I339"/>
    <mergeCell ref="M339:N339"/>
    <mergeCell ref="O339:P339"/>
    <mergeCell ref="Q339:U339"/>
    <mergeCell ref="A338:B338"/>
    <mergeCell ref="C338:E338"/>
    <mergeCell ref="F338:I338"/>
    <mergeCell ref="M338:N338"/>
    <mergeCell ref="O338:P338"/>
    <mergeCell ref="Q338:U338"/>
    <mergeCell ref="A337:B337"/>
    <mergeCell ref="C337:E337"/>
    <mergeCell ref="F337:I337"/>
    <mergeCell ref="M337:N337"/>
    <mergeCell ref="O337:P337"/>
    <mergeCell ref="Q337:U337"/>
    <mergeCell ref="A336:B336"/>
    <mergeCell ref="C336:E336"/>
    <mergeCell ref="F336:I336"/>
    <mergeCell ref="M336:N336"/>
    <mergeCell ref="O336:P336"/>
    <mergeCell ref="Q336:U336"/>
    <mergeCell ref="A335:B335"/>
    <mergeCell ref="C335:E335"/>
    <mergeCell ref="F335:I335"/>
    <mergeCell ref="M335:N335"/>
    <mergeCell ref="O335:P335"/>
    <mergeCell ref="Q335:U335"/>
    <mergeCell ref="A334:B334"/>
    <mergeCell ref="C334:E334"/>
    <mergeCell ref="F334:I334"/>
    <mergeCell ref="M334:N334"/>
    <mergeCell ref="O334:P334"/>
    <mergeCell ref="Q334:U334"/>
    <mergeCell ref="A345:B345"/>
    <mergeCell ref="C345:E345"/>
    <mergeCell ref="F345:I345"/>
    <mergeCell ref="M345:N345"/>
    <mergeCell ref="O345:P345"/>
    <mergeCell ref="Q345:U345"/>
    <mergeCell ref="A344:B344"/>
    <mergeCell ref="C344:E344"/>
    <mergeCell ref="F344:I344"/>
    <mergeCell ref="M344:N344"/>
    <mergeCell ref="O344:P344"/>
    <mergeCell ref="Q344:U344"/>
    <mergeCell ref="A343:B343"/>
    <mergeCell ref="C343:E343"/>
    <mergeCell ref="F343:I343"/>
    <mergeCell ref="M343:N343"/>
    <mergeCell ref="O343:P343"/>
    <mergeCell ref="Q343:U343"/>
    <mergeCell ref="A342:B342"/>
    <mergeCell ref="C342:E342"/>
    <mergeCell ref="F342:I342"/>
    <mergeCell ref="M342:N342"/>
    <mergeCell ref="O342:P342"/>
    <mergeCell ref="Q342:U342"/>
    <mergeCell ref="A341:B341"/>
    <mergeCell ref="C341:E341"/>
    <mergeCell ref="F341:I341"/>
    <mergeCell ref="M341:N341"/>
    <mergeCell ref="O341:P341"/>
    <mergeCell ref="Q341:U341"/>
    <mergeCell ref="A340:B340"/>
    <mergeCell ref="C340:E340"/>
    <mergeCell ref="F340:I340"/>
    <mergeCell ref="M340:N340"/>
    <mergeCell ref="O340:P340"/>
    <mergeCell ref="Q340:U340"/>
    <mergeCell ref="A351:B351"/>
    <mergeCell ref="C351:E351"/>
    <mergeCell ref="F351:I351"/>
    <mergeCell ref="M351:N351"/>
    <mergeCell ref="O351:P351"/>
    <mergeCell ref="Q351:U351"/>
    <mergeCell ref="A350:B350"/>
    <mergeCell ref="C350:E350"/>
    <mergeCell ref="F350:I350"/>
    <mergeCell ref="M350:N350"/>
    <mergeCell ref="O350:P350"/>
    <mergeCell ref="Q350:U350"/>
    <mergeCell ref="A349:B349"/>
    <mergeCell ref="C349:E349"/>
    <mergeCell ref="F349:I349"/>
    <mergeCell ref="M349:N349"/>
    <mergeCell ref="O349:P349"/>
    <mergeCell ref="Q349:U349"/>
    <mergeCell ref="A348:B348"/>
    <mergeCell ref="C348:E348"/>
    <mergeCell ref="F348:I348"/>
    <mergeCell ref="M348:N348"/>
    <mergeCell ref="O348:P348"/>
    <mergeCell ref="Q348:U348"/>
    <mergeCell ref="A347:B347"/>
    <mergeCell ref="C347:E347"/>
    <mergeCell ref="F347:I347"/>
    <mergeCell ref="M347:N347"/>
    <mergeCell ref="O347:P347"/>
    <mergeCell ref="Q347:U347"/>
    <mergeCell ref="A346:B346"/>
    <mergeCell ref="C346:E346"/>
    <mergeCell ref="F346:I346"/>
    <mergeCell ref="M346:N346"/>
    <mergeCell ref="O346:P346"/>
    <mergeCell ref="Q346:U346"/>
    <mergeCell ref="B361:G362"/>
    <mergeCell ref="H361:M361"/>
    <mergeCell ref="N361:S362"/>
    <mergeCell ref="T361:W362"/>
    <mergeCell ref="H362:M362"/>
    <mergeCell ref="B363:D363"/>
    <mergeCell ref="E363:Q364"/>
    <mergeCell ref="R363:S364"/>
    <mergeCell ref="T363:U364"/>
    <mergeCell ref="S356:W356"/>
    <mergeCell ref="C357:T357"/>
    <mergeCell ref="A358:F360"/>
    <mergeCell ref="G358:T358"/>
    <mergeCell ref="G359:R359"/>
    <mergeCell ref="G360:Q360"/>
    <mergeCell ref="A354:B354"/>
    <mergeCell ref="C354:E354"/>
    <mergeCell ref="F354:I354"/>
    <mergeCell ref="M354:N354"/>
    <mergeCell ref="O354:P354"/>
    <mergeCell ref="Q354:U354"/>
    <mergeCell ref="A353:B353"/>
    <mergeCell ref="C353:E353"/>
    <mergeCell ref="F353:I353"/>
    <mergeCell ref="M353:N353"/>
    <mergeCell ref="O353:P353"/>
    <mergeCell ref="Q353:U353"/>
    <mergeCell ref="A352:B352"/>
    <mergeCell ref="C352:E352"/>
    <mergeCell ref="F352:I352"/>
    <mergeCell ref="M352:N352"/>
    <mergeCell ref="O352:P352"/>
    <mergeCell ref="Q352:U352"/>
    <mergeCell ref="A370:B370"/>
    <mergeCell ref="C370:E370"/>
    <mergeCell ref="F370:I370"/>
    <mergeCell ref="M370:N370"/>
    <mergeCell ref="O370:P370"/>
    <mergeCell ref="Q370:U370"/>
    <mergeCell ref="A369:B369"/>
    <mergeCell ref="C369:E369"/>
    <mergeCell ref="F369:I369"/>
    <mergeCell ref="M369:N369"/>
    <mergeCell ref="O369:P369"/>
    <mergeCell ref="Q369:U369"/>
    <mergeCell ref="A368:B368"/>
    <mergeCell ref="C368:E368"/>
    <mergeCell ref="F368:I368"/>
    <mergeCell ref="M368:N368"/>
    <mergeCell ref="O368:P368"/>
    <mergeCell ref="Q368:U368"/>
    <mergeCell ref="A367:B367"/>
    <mergeCell ref="C367:E367"/>
    <mergeCell ref="F367:I367"/>
    <mergeCell ref="M367:N367"/>
    <mergeCell ref="O367:P367"/>
    <mergeCell ref="Q367:U367"/>
    <mergeCell ref="A365:I365"/>
    <mergeCell ref="J365:K365"/>
    <mergeCell ref="L365:N365"/>
    <mergeCell ref="O365:U365"/>
    <mergeCell ref="A366:B366"/>
    <mergeCell ref="C366:E366"/>
    <mergeCell ref="F366:I366"/>
    <mergeCell ref="M366:N366"/>
    <mergeCell ref="O366:P366"/>
    <mergeCell ref="Q366:U366"/>
    <mergeCell ref="A376:B376"/>
    <mergeCell ref="C376:E376"/>
    <mergeCell ref="F376:I376"/>
    <mergeCell ref="M376:N376"/>
    <mergeCell ref="O376:P376"/>
    <mergeCell ref="Q376:U376"/>
    <mergeCell ref="A375:B375"/>
    <mergeCell ref="C375:E375"/>
    <mergeCell ref="F375:I375"/>
    <mergeCell ref="M375:N375"/>
    <mergeCell ref="O375:P375"/>
    <mergeCell ref="Q375:U375"/>
    <mergeCell ref="A374:B374"/>
    <mergeCell ref="C374:E374"/>
    <mergeCell ref="F374:I374"/>
    <mergeCell ref="M374:N374"/>
    <mergeCell ref="O374:P374"/>
    <mergeCell ref="Q374:U374"/>
    <mergeCell ref="A373:B373"/>
    <mergeCell ref="C373:E373"/>
    <mergeCell ref="F373:I373"/>
    <mergeCell ref="M373:N373"/>
    <mergeCell ref="O373:P373"/>
    <mergeCell ref="Q373:U373"/>
    <mergeCell ref="A372:B372"/>
    <mergeCell ref="C372:E372"/>
    <mergeCell ref="F372:I372"/>
    <mergeCell ref="M372:N372"/>
    <mergeCell ref="O372:P372"/>
    <mergeCell ref="Q372:U372"/>
    <mergeCell ref="A371:B371"/>
    <mergeCell ref="C371:E371"/>
    <mergeCell ref="F371:I371"/>
    <mergeCell ref="M371:N371"/>
    <mergeCell ref="O371:P371"/>
    <mergeCell ref="Q371:U371"/>
    <mergeCell ref="A382:B382"/>
    <mergeCell ref="C382:E382"/>
    <mergeCell ref="F382:I382"/>
    <mergeCell ref="M382:N382"/>
    <mergeCell ref="O382:P382"/>
    <mergeCell ref="Q382:U382"/>
    <mergeCell ref="A381:B381"/>
    <mergeCell ref="C381:E381"/>
    <mergeCell ref="F381:I381"/>
    <mergeCell ref="M381:N381"/>
    <mergeCell ref="O381:P381"/>
    <mergeCell ref="Q381:U381"/>
    <mergeCell ref="A380:B380"/>
    <mergeCell ref="C380:E380"/>
    <mergeCell ref="F380:I380"/>
    <mergeCell ref="M380:N380"/>
    <mergeCell ref="O380:P380"/>
    <mergeCell ref="Q380:U380"/>
    <mergeCell ref="A379:B379"/>
    <mergeCell ref="C379:E379"/>
    <mergeCell ref="F379:I379"/>
    <mergeCell ref="M379:N379"/>
    <mergeCell ref="O379:P379"/>
    <mergeCell ref="Q379:U379"/>
    <mergeCell ref="A378:B378"/>
    <mergeCell ref="C378:E378"/>
    <mergeCell ref="F378:I378"/>
    <mergeCell ref="M378:N378"/>
    <mergeCell ref="O378:P378"/>
    <mergeCell ref="Q378:U378"/>
    <mergeCell ref="A377:B377"/>
    <mergeCell ref="C377:E377"/>
    <mergeCell ref="F377:I377"/>
    <mergeCell ref="M377:N377"/>
    <mergeCell ref="O377:P377"/>
    <mergeCell ref="Q377:U377"/>
    <mergeCell ref="A388:B388"/>
    <mergeCell ref="C388:E388"/>
    <mergeCell ref="F388:I388"/>
    <mergeCell ref="M388:N388"/>
    <mergeCell ref="O388:P388"/>
    <mergeCell ref="Q388:U388"/>
    <mergeCell ref="A387:B387"/>
    <mergeCell ref="C387:E387"/>
    <mergeCell ref="F387:I387"/>
    <mergeCell ref="M387:N387"/>
    <mergeCell ref="O387:P387"/>
    <mergeCell ref="Q387:U387"/>
    <mergeCell ref="A386:B386"/>
    <mergeCell ref="C386:E386"/>
    <mergeCell ref="F386:I386"/>
    <mergeCell ref="M386:N386"/>
    <mergeCell ref="O386:P386"/>
    <mergeCell ref="Q386:U386"/>
    <mergeCell ref="A385:B385"/>
    <mergeCell ref="C385:E385"/>
    <mergeCell ref="F385:I385"/>
    <mergeCell ref="M385:N385"/>
    <mergeCell ref="O385:P385"/>
    <mergeCell ref="Q385:U385"/>
    <mergeCell ref="A384:B384"/>
    <mergeCell ref="C384:E384"/>
    <mergeCell ref="F384:I384"/>
    <mergeCell ref="M384:N384"/>
    <mergeCell ref="O384:P384"/>
    <mergeCell ref="Q384:U384"/>
    <mergeCell ref="A383:B383"/>
    <mergeCell ref="C383:E383"/>
    <mergeCell ref="F383:I383"/>
    <mergeCell ref="M383:N383"/>
    <mergeCell ref="O383:P383"/>
    <mergeCell ref="Q383:U383"/>
    <mergeCell ref="A394:B394"/>
    <mergeCell ref="C394:E394"/>
    <mergeCell ref="F394:I394"/>
    <mergeCell ref="M394:N394"/>
    <mergeCell ref="O394:P394"/>
    <mergeCell ref="Q394:U394"/>
    <mergeCell ref="A393:B393"/>
    <mergeCell ref="C393:E393"/>
    <mergeCell ref="F393:I393"/>
    <mergeCell ref="M393:N393"/>
    <mergeCell ref="O393:P393"/>
    <mergeCell ref="Q393:U393"/>
    <mergeCell ref="A392:B392"/>
    <mergeCell ref="C392:E392"/>
    <mergeCell ref="F392:I392"/>
    <mergeCell ref="M392:N392"/>
    <mergeCell ref="O392:P392"/>
    <mergeCell ref="Q392:U392"/>
    <mergeCell ref="A391:B391"/>
    <mergeCell ref="C391:E391"/>
    <mergeCell ref="F391:I391"/>
    <mergeCell ref="M391:N391"/>
    <mergeCell ref="O391:P391"/>
    <mergeCell ref="Q391:U391"/>
    <mergeCell ref="A390:B390"/>
    <mergeCell ref="C390:E390"/>
    <mergeCell ref="F390:I390"/>
    <mergeCell ref="M390:N390"/>
    <mergeCell ref="O390:P390"/>
    <mergeCell ref="Q390:U390"/>
    <mergeCell ref="A389:B389"/>
    <mergeCell ref="C389:E389"/>
    <mergeCell ref="F389:I389"/>
    <mergeCell ref="M389:N389"/>
    <mergeCell ref="O389:P389"/>
    <mergeCell ref="Q389:U389"/>
    <mergeCell ref="A400:B400"/>
    <mergeCell ref="C400:E400"/>
    <mergeCell ref="F400:I400"/>
    <mergeCell ref="M400:N400"/>
    <mergeCell ref="O400:P400"/>
    <mergeCell ref="Q400:U400"/>
    <mergeCell ref="A399:B399"/>
    <mergeCell ref="C399:E399"/>
    <mergeCell ref="F399:I399"/>
    <mergeCell ref="M399:N399"/>
    <mergeCell ref="O399:P399"/>
    <mergeCell ref="Q399:U399"/>
    <mergeCell ref="A398:B398"/>
    <mergeCell ref="C398:E398"/>
    <mergeCell ref="F398:I398"/>
    <mergeCell ref="M398:N398"/>
    <mergeCell ref="O398:P398"/>
    <mergeCell ref="Q398:U398"/>
    <mergeCell ref="A397:B397"/>
    <mergeCell ref="C397:E397"/>
    <mergeCell ref="F397:I397"/>
    <mergeCell ref="M397:N397"/>
    <mergeCell ref="O397:P397"/>
    <mergeCell ref="Q397:U397"/>
    <mergeCell ref="A396:B396"/>
    <mergeCell ref="C396:E396"/>
    <mergeCell ref="F396:I396"/>
    <mergeCell ref="M396:N396"/>
    <mergeCell ref="O396:P396"/>
    <mergeCell ref="Q396:U396"/>
    <mergeCell ref="A395:B395"/>
    <mergeCell ref="C395:E395"/>
    <mergeCell ref="F395:I395"/>
    <mergeCell ref="M395:N395"/>
    <mergeCell ref="O395:P395"/>
    <mergeCell ref="Q395:U395"/>
    <mergeCell ref="A406:B406"/>
    <mergeCell ref="C406:E406"/>
    <mergeCell ref="F406:I406"/>
    <mergeCell ref="M406:N406"/>
    <mergeCell ref="O406:P406"/>
    <mergeCell ref="Q406:U406"/>
    <mergeCell ref="A405:B405"/>
    <mergeCell ref="C405:E405"/>
    <mergeCell ref="F405:I405"/>
    <mergeCell ref="M405:N405"/>
    <mergeCell ref="O405:P405"/>
    <mergeCell ref="Q405:U405"/>
    <mergeCell ref="A404:B404"/>
    <mergeCell ref="C404:E404"/>
    <mergeCell ref="F404:I404"/>
    <mergeCell ref="M404:N404"/>
    <mergeCell ref="O404:P404"/>
    <mergeCell ref="Q404:U404"/>
    <mergeCell ref="A403:B403"/>
    <mergeCell ref="C403:E403"/>
    <mergeCell ref="F403:I403"/>
    <mergeCell ref="M403:N403"/>
    <mergeCell ref="O403:P403"/>
    <mergeCell ref="Q403:U403"/>
    <mergeCell ref="A402:B402"/>
    <mergeCell ref="C402:E402"/>
    <mergeCell ref="F402:I402"/>
    <mergeCell ref="M402:N402"/>
    <mergeCell ref="O402:P402"/>
    <mergeCell ref="Q402:U402"/>
    <mergeCell ref="A401:B401"/>
    <mergeCell ref="C401:E401"/>
    <mergeCell ref="F401:I401"/>
    <mergeCell ref="M401:N401"/>
    <mergeCell ref="O401:P401"/>
    <mergeCell ref="Q401:U401"/>
    <mergeCell ref="A419:B419"/>
    <mergeCell ref="C419:E419"/>
    <mergeCell ref="F419:I419"/>
    <mergeCell ref="M419:N419"/>
    <mergeCell ref="O419:P419"/>
    <mergeCell ref="Q419:U419"/>
    <mergeCell ref="A417:I417"/>
    <mergeCell ref="J417:K417"/>
    <mergeCell ref="L417:N417"/>
    <mergeCell ref="O417:U417"/>
    <mergeCell ref="A418:B418"/>
    <mergeCell ref="C418:E418"/>
    <mergeCell ref="F418:I418"/>
    <mergeCell ref="M418:N418"/>
    <mergeCell ref="O418:P418"/>
    <mergeCell ref="Q418:U418"/>
    <mergeCell ref="B413:G414"/>
    <mergeCell ref="H413:M413"/>
    <mergeCell ref="N413:S414"/>
    <mergeCell ref="T413:W414"/>
    <mergeCell ref="H414:M414"/>
    <mergeCell ref="B415:D415"/>
    <mergeCell ref="E415:Q416"/>
    <mergeCell ref="R415:S416"/>
    <mergeCell ref="T415:U416"/>
    <mergeCell ref="S408:W408"/>
    <mergeCell ref="C409:T409"/>
    <mergeCell ref="A410:F412"/>
    <mergeCell ref="G410:T410"/>
    <mergeCell ref="G411:R411"/>
    <mergeCell ref="G412:Q412"/>
    <mergeCell ref="A407:B407"/>
    <mergeCell ref="C407:E407"/>
    <mergeCell ref="F407:I407"/>
    <mergeCell ref="M407:N407"/>
    <mergeCell ref="O407:P407"/>
    <mergeCell ref="Q407:U407"/>
    <mergeCell ref="A425:B425"/>
    <mergeCell ref="C425:E425"/>
    <mergeCell ref="F425:I425"/>
    <mergeCell ref="M425:N425"/>
    <mergeCell ref="O425:P425"/>
    <mergeCell ref="Q425:U425"/>
    <mergeCell ref="A424:B424"/>
    <mergeCell ref="C424:E424"/>
    <mergeCell ref="F424:I424"/>
    <mergeCell ref="M424:N424"/>
    <mergeCell ref="O424:P424"/>
    <mergeCell ref="Q424:U424"/>
    <mergeCell ref="A423:B423"/>
    <mergeCell ref="C423:E423"/>
    <mergeCell ref="F423:I423"/>
    <mergeCell ref="M423:N423"/>
    <mergeCell ref="O423:P423"/>
    <mergeCell ref="Q423:U423"/>
    <mergeCell ref="A422:B422"/>
    <mergeCell ref="C422:E422"/>
    <mergeCell ref="F422:I422"/>
    <mergeCell ref="M422:N422"/>
    <mergeCell ref="O422:P422"/>
    <mergeCell ref="Q422:U422"/>
    <mergeCell ref="A421:B421"/>
    <mergeCell ref="C421:E421"/>
    <mergeCell ref="F421:I421"/>
    <mergeCell ref="M421:N421"/>
    <mergeCell ref="O421:P421"/>
    <mergeCell ref="Q421:U421"/>
    <mergeCell ref="A420:B420"/>
    <mergeCell ref="C420:E420"/>
    <mergeCell ref="F420:I420"/>
    <mergeCell ref="M420:N420"/>
    <mergeCell ref="O420:P420"/>
    <mergeCell ref="Q420:U420"/>
    <mergeCell ref="A431:B431"/>
    <mergeCell ref="C431:E431"/>
    <mergeCell ref="F431:I431"/>
    <mergeCell ref="M431:N431"/>
    <mergeCell ref="O431:P431"/>
    <mergeCell ref="Q431:U431"/>
    <mergeCell ref="A430:B430"/>
    <mergeCell ref="C430:E430"/>
    <mergeCell ref="F430:I430"/>
    <mergeCell ref="M430:N430"/>
    <mergeCell ref="O430:P430"/>
    <mergeCell ref="Q430:U430"/>
    <mergeCell ref="A429:B429"/>
    <mergeCell ref="C429:E429"/>
    <mergeCell ref="F429:I429"/>
    <mergeCell ref="M429:N429"/>
    <mergeCell ref="O429:P429"/>
    <mergeCell ref="Q429:U429"/>
    <mergeCell ref="A428:B428"/>
    <mergeCell ref="C428:E428"/>
    <mergeCell ref="F428:I428"/>
    <mergeCell ref="M428:N428"/>
    <mergeCell ref="O428:P428"/>
    <mergeCell ref="Q428:U428"/>
    <mergeCell ref="A427:B427"/>
    <mergeCell ref="C427:E427"/>
    <mergeCell ref="F427:I427"/>
    <mergeCell ref="M427:N427"/>
    <mergeCell ref="O427:P427"/>
    <mergeCell ref="Q427:U427"/>
    <mergeCell ref="A426:B426"/>
    <mergeCell ref="C426:E426"/>
    <mergeCell ref="F426:I426"/>
    <mergeCell ref="M426:N426"/>
    <mergeCell ref="O426:P426"/>
    <mergeCell ref="Q426:U426"/>
    <mergeCell ref="A437:B437"/>
    <mergeCell ref="C437:E437"/>
    <mergeCell ref="F437:I437"/>
    <mergeCell ref="M437:N437"/>
    <mergeCell ref="O437:P437"/>
    <mergeCell ref="Q437:U437"/>
    <mergeCell ref="A436:B436"/>
    <mergeCell ref="C436:E436"/>
    <mergeCell ref="F436:I436"/>
    <mergeCell ref="M436:N436"/>
    <mergeCell ref="O436:P436"/>
    <mergeCell ref="Q436:U436"/>
    <mergeCell ref="A435:B435"/>
    <mergeCell ref="C435:E435"/>
    <mergeCell ref="F435:I435"/>
    <mergeCell ref="M435:N435"/>
    <mergeCell ref="O435:P435"/>
    <mergeCell ref="Q435:U435"/>
    <mergeCell ref="A434:B434"/>
    <mergeCell ref="C434:E434"/>
    <mergeCell ref="F434:I434"/>
    <mergeCell ref="M434:N434"/>
    <mergeCell ref="O434:P434"/>
    <mergeCell ref="Q434:U434"/>
    <mergeCell ref="A433:B433"/>
    <mergeCell ref="C433:E433"/>
    <mergeCell ref="F433:I433"/>
    <mergeCell ref="M433:N433"/>
    <mergeCell ref="O433:P433"/>
    <mergeCell ref="Q433:U433"/>
    <mergeCell ref="A432:B432"/>
    <mergeCell ref="C432:E432"/>
    <mergeCell ref="F432:I432"/>
    <mergeCell ref="M432:N432"/>
    <mergeCell ref="O432:P432"/>
    <mergeCell ref="Q432:U432"/>
    <mergeCell ref="A443:B443"/>
    <mergeCell ref="C443:E443"/>
    <mergeCell ref="F443:I443"/>
    <mergeCell ref="M443:N443"/>
    <mergeCell ref="O443:P443"/>
    <mergeCell ref="Q443:U443"/>
    <mergeCell ref="A442:B442"/>
    <mergeCell ref="C442:E442"/>
    <mergeCell ref="F442:I442"/>
    <mergeCell ref="M442:N442"/>
    <mergeCell ref="O442:P442"/>
    <mergeCell ref="Q442:U442"/>
    <mergeCell ref="A441:B441"/>
    <mergeCell ref="C441:E441"/>
    <mergeCell ref="F441:I441"/>
    <mergeCell ref="M441:N441"/>
    <mergeCell ref="O441:P441"/>
    <mergeCell ref="Q441:U441"/>
    <mergeCell ref="A440:B440"/>
    <mergeCell ref="C440:E440"/>
    <mergeCell ref="F440:I440"/>
    <mergeCell ref="M440:N440"/>
    <mergeCell ref="O440:P440"/>
    <mergeCell ref="Q440:U440"/>
    <mergeCell ref="A439:B439"/>
    <mergeCell ref="C439:E439"/>
    <mergeCell ref="F439:I439"/>
    <mergeCell ref="M439:N439"/>
    <mergeCell ref="O439:P439"/>
    <mergeCell ref="Q439:U439"/>
    <mergeCell ref="A438:B438"/>
    <mergeCell ref="C438:E438"/>
    <mergeCell ref="F438:I438"/>
    <mergeCell ref="M438:N438"/>
    <mergeCell ref="O438:P438"/>
    <mergeCell ref="Q438:U438"/>
    <mergeCell ref="A449:B449"/>
    <mergeCell ref="C449:E449"/>
    <mergeCell ref="F449:I449"/>
    <mergeCell ref="M449:N449"/>
    <mergeCell ref="O449:P449"/>
    <mergeCell ref="Q449:U449"/>
    <mergeCell ref="A448:B448"/>
    <mergeCell ref="C448:E448"/>
    <mergeCell ref="F448:I448"/>
    <mergeCell ref="M448:N448"/>
    <mergeCell ref="O448:P448"/>
    <mergeCell ref="Q448:U448"/>
    <mergeCell ref="A447:B447"/>
    <mergeCell ref="C447:E447"/>
    <mergeCell ref="F447:I447"/>
    <mergeCell ref="M447:N447"/>
    <mergeCell ref="O447:P447"/>
    <mergeCell ref="Q447:U447"/>
    <mergeCell ref="A446:B446"/>
    <mergeCell ref="C446:E446"/>
    <mergeCell ref="F446:I446"/>
    <mergeCell ref="M446:N446"/>
    <mergeCell ref="O446:P446"/>
    <mergeCell ref="Q446:U446"/>
    <mergeCell ref="A445:B445"/>
    <mergeCell ref="C445:E445"/>
    <mergeCell ref="F445:I445"/>
    <mergeCell ref="M445:N445"/>
    <mergeCell ref="O445:P445"/>
    <mergeCell ref="Q445:U445"/>
    <mergeCell ref="A444:B444"/>
    <mergeCell ref="C444:E444"/>
    <mergeCell ref="F444:I444"/>
    <mergeCell ref="M444:N444"/>
    <mergeCell ref="O444:P444"/>
    <mergeCell ref="Q444:U444"/>
    <mergeCell ref="A455:B455"/>
    <mergeCell ref="C455:E455"/>
    <mergeCell ref="F455:I455"/>
    <mergeCell ref="M455:N455"/>
    <mergeCell ref="O455:P455"/>
    <mergeCell ref="Q455:U455"/>
    <mergeCell ref="A454:B454"/>
    <mergeCell ref="C454:E454"/>
    <mergeCell ref="F454:I454"/>
    <mergeCell ref="M454:N454"/>
    <mergeCell ref="O454:P454"/>
    <mergeCell ref="Q454:U454"/>
    <mergeCell ref="A453:B453"/>
    <mergeCell ref="C453:E453"/>
    <mergeCell ref="F453:I453"/>
    <mergeCell ref="M453:N453"/>
    <mergeCell ref="O453:P453"/>
    <mergeCell ref="Q453:U453"/>
    <mergeCell ref="A452:B452"/>
    <mergeCell ref="C452:E452"/>
    <mergeCell ref="F452:I452"/>
    <mergeCell ref="M452:N452"/>
    <mergeCell ref="O452:P452"/>
    <mergeCell ref="Q452:U452"/>
    <mergeCell ref="A451:B451"/>
    <mergeCell ref="C451:E451"/>
    <mergeCell ref="F451:I451"/>
    <mergeCell ref="M451:N451"/>
    <mergeCell ref="O451:P451"/>
    <mergeCell ref="Q451:U451"/>
    <mergeCell ref="A450:B450"/>
    <mergeCell ref="C450:E450"/>
    <mergeCell ref="F450:I450"/>
    <mergeCell ref="M450:N450"/>
    <mergeCell ref="O450:P450"/>
    <mergeCell ref="Q450:U450"/>
    <mergeCell ref="A468:B468"/>
    <mergeCell ref="C468:E468"/>
    <mergeCell ref="F468:I468"/>
    <mergeCell ref="M468:N468"/>
    <mergeCell ref="O468:P468"/>
    <mergeCell ref="Q468:U468"/>
    <mergeCell ref="A466:I466"/>
    <mergeCell ref="J466:K466"/>
    <mergeCell ref="L466:N466"/>
    <mergeCell ref="O466:U466"/>
    <mergeCell ref="A467:B467"/>
    <mergeCell ref="C467:E467"/>
    <mergeCell ref="F467:I467"/>
    <mergeCell ref="M467:N467"/>
    <mergeCell ref="O467:P467"/>
    <mergeCell ref="Q467:U467"/>
    <mergeCell ref="B462:G463"/>
    <mergeCell ref="H462:M462"/>
    <mergeCell ref="N462:S463"/>
    <mergeCell ref="T462:W463"/>
    <mergeCell ref="H463:M463"/>
    <mergeCell ref="B464:D464"/>
    <mergeCell ref="E464:Q465"/>
    <mergeCell ref="R464:S465"/>
    <mergeCell ref="T464:U465"/>
    <mergeCell ref="S457:W457"/>
    <mergeCell ref="C458:T458"/>
    <mergeCell ref="A459:F461"/>
    <mergeCell ref="G459:T459"/>
    <mergeCell ref="G460:R460"/>
    <mergeCell ref="G461:Q461"/>
    <mergeCell ref="A456:B456"/>
    <mergeCell ref="C456:E456"/>
    <mergeCell ref="F456:I456"/>
    <mergeCell ref="M456:N456"/>
    <mergeCell ref="O456:P456"/>
    <mergeCell ref="Q456:U456"/>
    <mergeCell ref="A474:B474"/>
    <mergeCell ref="C474:E474"/>
    <mergeCell ref="F474:I474"/>
    <mergeCell ref="M474:N474"/>
    <mergeCell ref="O474:P474"/>
    <mergeCell ref="Q474:U474"/>
    <mergeCell ref="A473:B473"/>
    <mergeCell ref="C473:E473"/>
    <mergeCell ref="F473:I473"/>
    <mergeCell ref="M473:N473"/>
    <mergeCell ref="O473:P473"/>
    <mergeCell ref="Q473:U473"/>
    <mergeCell ref="A472:B472"/>
    <mergeCell ref="C472:E472"/>
    <mergeCell ref="F472:I472"/>
    <mergeCell ref="M472:N472"/>
    <mergeCell ref="O472:P472"/>
    <mergeCell ref="Q472:U472"/>
    <mergeCell ref="A471:B471"/>
    <mergeCell ref="C471:E471"/>
    <mergeCell ref="F471:I471"/>
    <mergeCell ref="M471:N471"/>
    <mergeCell ref="O471:P471"/>
    <mergeCell ref="Q471:U471"/>
    <mergeCell ref="A470:B470"/>
    <mergeCell ref="C470:E470"/>
    <mergeCell ref="F470:I470"/>
    <mergeCell ref="M470:N470"/>
    <mergeCell ref="O470:P470"/>
    <mergeCell ref="Q470:U470"/>
    <mergeCell ref="A469:B469"/>
    <mergeCell ref="C469:E469"/>
    <mergeCell ref="F469:I469"/>
    <mergeCell ref="M469:N469"/>
    <mergeCell ref="O469:P469"/>
    <mergeCell ref="Q469:U469"/>
    <mergeCell ref="A480:B480"/>
    <mergeCell ref="C480:E480"/>
    <mergeCell ref="F480:I480"/>
    <mergeCell ref="M480:N480"/>
    <mergeCell ref="O480:P480"/>
    <mergeCell ref="Q480:U480"/>
    <mergeCell ref="A479:B479"/>
    <mergeCell ref="C479:E479"/>
    <mergeCell ref="F479:I479"/>
    <mergeCell ref="M479:N479"/>
    <mergeCell ref="O479:P479"/>
    <mergeCell ref="Q479:U479"/>
    <mergeCell ref="A478:B478"/>
    <mergeCell ref="C478:E478"/>
    <mergeCell ref="F478:I478"/>
    <mergeCell ref="M478:N478"/>
    <mergeCell ref="O478:P478"/>
    <mergeCell ref="Q478:U478"/>
    <mergeCell ref="A477:B477"/>
    <mergeCell ref="C477:E477"/>
    <mergeCell ref="F477:I477"/>
    <mergeCell ref="M477:N477"/>
    <mergeCell ref="O477:P477"/>
    <mergeCell ref="Q477:U477"/>
    <mergeCell ref="A476:B476"/>
    <mergeCell ref="C476:E476"/>
    <mergeCell ref="F476:I476"/>
    <mergeCell ref="M476:N476"/>
    <mergeCell ref="O476:P476"/>
    <mergeCell ref="Q476:U476"/>
    <mergeCell ref="A475:B475"/>
    <mergeCell ref="C475:E475"/>
    <mergeCell ref="F475:I475"/>
    <mergeCell ref="M475:N475"/>
    <mergeCell ref="O475:P475"/>
    <mergeCell ref="Q475:U475"/>
    <mergeCell ref="A486:B486"/>
    <mergeCell ref="C486:E486"/>
    <mergeCell ref="F486:I486"/>
    <mergeCell ref="M486:N486"/>
    <mergeCell ref="O486:P486"/>
    <mergeCell ref="Q486:U486"/>
    <mergeCell ref="A485:B485"/>
    <mergeCell ref="C485:E485"/>
    <mergeCell ref="F485:I485"/>
    <mergeCell ref="M485:N485"/>
    <mergeCell ref="O485:P485"/>
    <mergeCell ref="Q485:U485"/>
    <mergeCell ref="A484:B484"/>
    <mergeCell ref="C484:E484"/>
    <mergeCell ref="F484:I484"/>
    <mergeCell ref="M484:N484"/>
    <mergeCell ref="O484:P484"/>
    <mergeCell ref="Q484:U484"/>
    <mergeCell ref="A483:B483"/>
    <mergeCell ref="C483:E483"/>
    <mergeCell ref="F483:I483"/>
    <mergeCell ref="M483:N483"/>
    <mergeCell ref="O483:P483"/>
    <mergeCell ref="Q483:U483"/>
    <mergeCell ref="A482:B482"/>
    <mergeCell ref="C482:E482"/>
    <mergeCell ref="F482:I482"/>
    <mergeCell ref="M482:N482"/>
    <mergeCell ref="O482:P482"/>
    <mergeCell ref="Q482:U482"/>
    <mergeCell ref="A481:B481"/>
    <mergeCell ref="C481:E481"/>
    <mergeCell ref="F481:I481"/>
    <mergeCell ref="M481:N481"/>
    <mergeCell ref="O481:P481"/>
    <mergeCell ref="Q481:U481"/>
    <mergeCell ref="A492:B492"/>
    <mergeCell ref="C492:E492"/>
    <mergeCell ref="F492:I492"/>
    <mergeCell ref="M492:N492"/>
    <mergeCell ref="O492:P492"/>
    <mergeCell ref="Q492:U492"/>
    <mergeCell ref="A491:B491"/>
    <mergeCell ref="C491:E491"/>
    <mergeCell ref="F491:I491"/>
    <mergeCell ref="M491:N491"/>
    <mergeCell ref="O491:P491"/>
    <mergeCell ref="Q491:U491"/>
    <mergeCell ref="A490:B490"/>
    <mergeCell ref="C490:E490"/>
    <mergeCell ref="F490:I490"/>
    <mergeCell ref="M490:N490"/>
    <mergeCell ref="O490:P490"/>
    <mergeCell ref="Q490:U490"/>
    <mergeCell ref="A489:B489"/>
    <mergeCell ref="C489:E489"/>
    <mergeCell ref="F489:I489"/>
    <mergeCell ref="M489:N489"/>
    <mergeCell ref="O489:P489"/>
    <mergeCell ref="Q489:U489"/>
    <mergeCell ref="A488:B488"/>
    <mergeCell ref="C488:E488"/>
    <mergeCell ref="F488:I488"/>
    <mergeCell ref="M488:N488"/>
    <mergeCell ref="O488:P488"/>
    <mergeCell ref="Q488:U488"/>
    <mergeCell ref="A487:B487"/>
    <mergeCell ref="C487:E487"/>
    <mergeCell ref="F487:I487"/>
    <mergeCell ref="M487:N487"/>
    <mergeCell ref="O487:P487"/>
    <mergeCell ref="Q487:U487"/>
    <mergeCell ref="A498:B498"/>
    <mergeCell ref="C498:E498"/>
    <mergeCell ref="F498:I498"/>
    <mergeCell ref="M498:N498"/>
    <mergeCell ref="O498:P498"/>
    <mergeCell ref="Q498:U498"/>
    <mergeCell ref="A497:B497"/>
    <mergeCell ref="C497:E497"/>
    <mergeCell ref="F497:I497"/>
    <mergeCell ref="M497:N497"/>
    <mergeCell ref="O497:P497"/>
    <mergeCell ref="Q497:U497"/>
    <mergeCell ref="A496:B496"/>
    <mergeCell ref="C496:E496"/>
    <mergeCell ref="F496:I496"/>
    <mergeCell ref="M496:N496"/>
    <mergeCell ref="O496:P496"/>
    <mergeCell ref="Q496:U496"/>
    <mergeCell ref="A495:B495"/>
    <mergeCell ref="C495:E495"/>
    <mergeCell ref="F495:I495"/>
    <mergeCell ref="M495:N495"/>
    <mergeCell ref="O495:P495"/>
    <mergeCell ref="Q495:U495"/>
    <mergeCell ref="A494:B494"/>
    <mergeCell ref="C494:E494"/>
    <mergeCell ref="F494:I494"/>
    <mergeCell ref="M494:N494"/>
    <mergeCell ref="O494:P494"/>
    <mergeCell ref="Q494:U494"/>
    <mergeCell ref="A493:B493"/>
    <mergeCell ref="C493:E493"/>
    <mergeCell ref="F493:I493"/>
    <mergeCell ref="M493:N493"/>
    <mergeCell ref="O493:P493"/>
    <mergeCell ref="Q493:U493"/>
    <mergeCell ref="A504:B504"/>
    <mergeCell ref="C504:E504"/>
    <mergeCell ref="F504:I504"/>
    <mergeCell ref="M504:N504"/>
    <mergeCell ref="O504:P504"/>
    <mergeCell ref="Q504:U504"/>
    <mergeCell ref="A503:B503"/>
    <mergeCell ref="C503:E503"/>
    <mergeCell ref="F503:I503"/>
    <mergeCell ref="M503:N503"/>
    <mergeCell ref="O503:P503"/>
    <mergeCell ref="Q503:U503"/>
    <mergeCell ref="A502:B502"/>
    <mergeCell ref="C502:E502"/>
    <mergeCell ref="F502:I502"/>
    <mergeCell ref="M502:N502"/>
    <mergeCell ref="O502:P502"/>
    <mergeCell ref="Q502:U502"/>
    <mergeCell ref="A501:B501"/>
    <mergeCell ref="C501:E501"/>
    <mergeCell ref="F501:I501"/>
    <mergeCell ref="M501:N501"/>
    <mergeCell ref="O501:P501"/>
    <mergeCell ref="Q501:U501"/>
    <mergeCell ref="A500:B500"/>
    <mergeCell ref="C500:E500"/>
    <mergeCell ref="F500:I500"/>
    <mergeCell ref="M500:N500"/>
    <mergeCell ref="O500:P500"/>
    <mergeCell ref="Q500:U500"/>
    <mergeCell ref="A499:B499"/>
    <mergeCell ref="C499:E499"/>
    <mergeCell ref="F499:I499"/>
    <mergeCell ref="M499:N499"/>
    <mergeCell ref="O499:P499"/>
    <mergeCell ref="Q499:U499"/>
    <mergeCell ref="B513:G514"/>
    <mergeCell ref="H513:M513"/>
    <mergeCell ref="N513:S514"/>
    <mergeCell ref="T513:W514"/>
    <mergeCell ref="H514:M514"/>
    <mergeCell ref="B515:D515"/>
    <mergeCell ref="E515:Q516"/>
    <mergeCell ref="R515:S516"/>
    <mergeCell ref="T515:U516"/>
    <mergeCell ref="S508:W508"/>
    <mergeCell ref="C509:T509"/>
    <mergeCell ref="A510:F512"/>
    <mergeCell ref="G510:T510"/>
    <mergeCell ref="G511:R511"/>
    <mergeCell ref="G512:Q512"/>
    <mergeCell ref="A507:B507"/>
    <mergeCell ref="C507:E507"/>
    <mergeCell ref="F507:I507"/>
    <mergeCell ref="M507:N507"/>
    <mergeCell ref="O507:P507"/>
    <mergeCell ref="Q507:U507"/>
    <mergeCell ref="A506:B506"/>
    <mergeCell ref="C506:E506"/>
    <mergeCell ref="F506:I506"/>
    <mergeCell ref="M506:N506"/>
    <mergeCell ref="O506:P506"/>
    <mergeCell ref="Q506:U506"/>
    <mergeCell ref="A505:B505"/>
    <mergeCell ref="C505:E505"/>
    <mergeCell ref="F505:I505"/>
    <mergeCell ref="M505:N505"/>
    <mergeCell ref="O505:P505"/>
    <mergeCell ref="Q505:U505"/>
    <mergeCell ref="A523:B523"/>
    <mergeCell ref="C523:E523"/>
    <mergeCell ref="F523:I523"/>
    <mergeCell ref="M523:N523"/>
    <mergeCell ref="O523:P523"/>
    <mergeCell ref="Q523:U523"/>
    <mergeCell ref="A522:B522"/>
    <mergeCell ref="C522:E522"/>
    <mergeCell ref="F522:I522"/>
    <mergeCell ref="M522:N522"/>
    <mergeCell ref="O522:P522"/>
    <mergeCell ref="Q522:U522"/>
    <mergeCell ref="A521:B521"/>
    <mergeCell ref="C521:E521"/>
    <mergeCell ref="F521:I521"/>
    <mergeCell ref="M521:N521"/>
    <mergeCell ref="O521:P521"/>
    <mergeCell ref="Q521:U521"/>
    <mergeCell ref="A520:B520"/>
    <mergeCell ref="C520:E520"/>
    <mergeCell ref="F520:I520"/>
    <mergeCell ref="M520:N520"/>
    <mergeCell ref="O520:P520"/>
    <mergeCell ref="Q520:U520"/>
    <mergeCell ref="A519:B519"/>
    <mergeCell ref="C519:E519"/>
    <mergeCell ref="F519:I519"/>
    <mergeCell ref="M519:N519"/>
    <mergeCell ref="O519:P519"/>
    <mergeCell ref="Q519:U519"/>
    <mergeCell ref="A517:I517"/>
    <mergeCell ref="J517:K517"/>
    <mergeCell ref="L517:N517"/>
    <mergeCell ref="O517:U517"/>
    <mergeCell ref="A518:B518"/>
    <mergeCell ref="C518:E518"/>
    <mergeCell ref="F518:I518"/>
    <mergeCell ref="M518:N518"/>
    <mergeCell ref="O518:P518"/>
    <mergeCell ref="Q518:U518"/>
    <mergeCell ref="A529:B529"/>
    <mergeCell ref="C529:E529"/>
    <mergeCell ref="F529:I529"/>
    <mergeCell ref="M529:N529"/>
    <mergeCell ref="O529:P529"/>
    <mergeCell ref="Q529:U529"/>
    <mergeCell ref="A528:B528"/>
    <mergeCell ref="C528:E528"/>
    <mergeCell ref="F528:I528"/>
    <mergeCell ref="M528:N528"/>
    <mergeCell ref="O528:P528"/>
    <mergeCell ref="Q528:U528"/>
    <mergeCell ref="A527:B527"/>
    <mergeCell ref="C527:E527"/>
    <mergeCell ref="F527:I527"/>
    <mergeCell ref="M527:N527"/>
    <mergeCell ref="O527:P527"/>
    <mergeCell ref="Q527:U527"/>
    <mergeCell ref="A526:B526"/>
    <mergeCell ref="C526:E526"/>
    <mergeCell ref="F526:I526"/>
    <mergeCell ref="M526:N526"/>
    <mergeCell ref="O526:P526"/>
    <mergeCell ref="Q526:U526"/>
    <mergeCell ref="A525:B525"/>
    <mergeCell ref="C525:E525"/>
    <mergeCell ref="F525:I525"/>
    <mergeCell ref="M525:N525"/>
    <mergeCell ref="O525:P525"/>
    <mergeCell ref="Q525:U525"/>
    <mergeCell ref="A524:B524"/>
    <mergeCell ref="C524:E524"/>
    <mergeCell ref="F524:I524"/>
    <mergeCell ref="M524:N524"/>
    <mergeCell ref="O524:P524"/>
    <mergeCell ref="Q524:U524"/>
    <mergeCell ref="A535:B535"/>
    <mergeCell ref="C535:E535"/>
    <mergeCell ref="F535:I535"/>
    <mergeCell ref="M535:N535"/>
    <mergeCell ref="O535:P535"/>
    <mergeCell ref="Q535:U535"/>
    <mergeCell ref="A534:B534"/>
    <mergeCell ref="C534:E534"/>
    <mergeCell ref="F534:I534"/>
    <mergeCell ref="M534:N534"/>
    <mergeCell ref="O534:P534"/>
    <mergeCell ref="Q534:U534"/>
    <mergeCell ref="A533:B533"/>
    <mergeCell ref="C533:E533"/>
    <mergeCell ref="F533:I533"/>
    <mergeCell ref="M533:N533"/>
    <mergeCell ref="O533:P533"/>
    <mergeCell ref="Q533:U533"/>
    <mergeCell ref="A532:B532"/>
    <mergeCell ref="C532:E532"/>
    <mergeCell ref="F532:I532"/>
    <mergeCell ref="M532:N532"/>
    <mergeCell ref="O532:P532"/>
    <mergeCell ref="Q532:U532"/>
    <mergeCell ref="A531:B531"/>
    <mergeCell ref="C531:E531"/>
    <mergeCell ref="F531:I531"/>
    <mergeCell ref="M531:N531"/>
    <mergeCell ref="O531:P531"/>
    <mergeCell ref="Q531:U531"/>
    <mergeCell ref="A530:B530"/>
    <mergeCell ref="C530:E530"/>
    <mergeCell ref="F530:I530"/>
    <mergeCell ref="M530:N530"/>
    <mergeCell ref="O530:P530"/>
    <mergeCell ref="Q530:U530"/>
    <mergeCell ref="A541:B541"/>
    <mergeCell ref="C541:E541"/>
    <mergeCell ref="F541:I541"/>
    <mergeCell ref="M541:N541"/>
    <mergeCell ref="O541:P541"/>
    <mergeCell ref="Q541:U541"/>
    <mergeCell ref="A540:B540"/>
    <mergeCell ref="C540:E540"/>
    <mergeCell ref="F540:I540"/>
    <mergeCell ref="M540:N540"/>
    <mergeCell ref="O540:P540"/>
    <mergeCell ref="Q540:U540"/>
    <mergeCell ref="A539:B539"/>
    <mergeCell ref="C539:E539"/>
    <mergeCell ref="F539:I539"/>
    <mergeCell ref="M539:N539"/>
    <mergeCell ref="O539:P539"/>
    <mergeCell ref="Q539:U539"/>
    <mergeCell ref="A538:B538"/>
    <mergeCell ref="C538:E538"/>
    <mergeCell ref="F538:I538"/>
    <mergeCell ref="M538:N538"/>
    <mergeCell ref="O538:P538"/>
    <mergeCell ref="Q538:U538"/>
    <mergeCell ref="A537:B537"/>
    <mergeCell ref="C537:E537"/>
    <mergeCell ref="F537:I537"/>
    <mergeCell ref="M537:N537"/>
    <mergeCell ref="O537:P537"/>
    <mergeCell ref="Q537:U537"/>
    <mergeCell ref="A536:B536"/>
    <mergeCell ref="C536:E536"/>
    <mergeCell ref="F536:I536"/>
    <mergeCell ref="M536:N536"/>
    <mergeCell ref="O536:P536"/>
    <mergeCell ref="Q536:U536"/>
    <mergeCell ref="A547:B547"/>
    <mergeCell ref="C547:E547"/>
    <mergeCell ref="F547:I547"/>
    <mergeCell ref="M547:N547"/>
    <mergeCell ref="O547:P547"/>
    <mergeCell ref="Q547:U547"/>
    <mergeCell ref="A546:B546"/>
    <mergeCell ref="C546:E546"/>
    <mergeCell ref="F546:I546"/>
    <mergeCell ref="M546:N546"/>
    <mergeCell ref="O546:P546"/>
    <mergeCell ref="Q546:U546"/>
    <mergeCell ref="A545:B545"/>
    <mergeCell ref="C545:E545"/>
    <mergeCell ref="F545:I545"/>
    <mergeCell ref="M545:N545"/>
    <mergeCell ref="O545:P545"/>
    <mergeCell ref="Q545:U545"/>
    <mergeCell ref="A544:B544"/>
    <mergeCell ref="C544:E544"/>
    <mergeCell ref="F544:I544"/>
    <mergeCell ref="M544:N544"/>
    <mergeCell ref="O544:P544"/>
    <mergeCell ref="Q544:U544"/>
    <mergeCell ref="A543:B543"/>
    <mergeCell ref="C543:E543"/>
    <mergeCell ref="F543:I543"/>
    <mergeCell ref="M543:N543"/>
    <mergeCell ref="O543:P543"/>
    <mergeCell ref="Q543:U543"/>
    <mergeCell ref="A542:B542"/>
    <mergeCell ref="C542:E542"/>
    <mergeCell ref="F542:I542"/>
    <mergeCell ref="M542:N542"/>
    <mergeCell ref="O542:P542"/>
    <mergeCell ref="Q542:U542"/>
    <mergeCell ref="A553:B553"/>
    <mergeCell ref="C553:E553"/>
    <mergeCell ref="F553:I553"/>
    <mergeCell ref="M553:N553"/>
    <mergeCell ref="O553:P553"/>
    <mergeCell ref="Q553:U553"/>
    <mergeCell ref="A552:B552"/>
    <mergeCell ref="C552:E552"/>
    <mergeCell ref="F552:I552"/>
    <mergeCell ref="M552:N552"/>
    <mergeCell ref="O552:P552"/>
    <mergeCell ref="Q552:U552"/>
    <mergeCell ref="A551:B551"/>
    <mergeCell ref="C551:E551"/>
    <mergeCell ref="F551:I551"/>
    <mergeCell ref="M551:N551"/>
    <mergeCell ref="O551:P551"/>
    <mergeCell ref="Q551:U551"/>
    <mergeCell ref="A550:B550"/>
    <mergeCell ref="C550:E550"/>
    <mergeCell ref="F550:I550"/>
    <mergeCell ref="M550:N550"/>
    <mergeCell ref="O550:P550"/>
    <mergeCell ref="Q550:U550"/>
    <mergeCell ref="A549:B549"/>
    <mergeCell ref="C549:E549"/>
    <mergeCell ref="F549:I549"/>
    <mergeCell ref="M549:N549"/>
    <mergeCell ref="O549:P549"/>
    <mergeCell ref="Q549:U549"/>
    <mergeCell ref="A548:B548"/>
    <mergeCell ref="C548:E548"/>
    <mergeCell ref="F548:I548"/>
    <mergeCell ref="M548:N548"/>
    <mergeCell ref="O548:P548"/>
    <mergeCell ref="Q548:U548"/>
    <mergeCell ref="B563:G564"/>
    <mergeCell ref="H563:M563"/>
    <mergeCell ref="N563:S564"/>
    <mergeCell ref="T563:W564"/>
    <mergeCell ref="H564:M564"/>
    <mergeCell ref="B565:D565"/>
    <mergeCell ref="E565:Q566"/>
    <mergeCell ref="R565:S566"/>
    <mergeCell ref="T565:U566"/>
    <mergeCell ref="S558:W558"/>
    <mergeCell ref="C559:T559"/>
    <mergeCell ref="A560:F562"/>
    <mergeCell ref="G560:T560"/>
    <mergeCell ref="G561:R561"/>
    <mergeCell ref="G562:Q562"/>
    <mergeCell ref="A556:B556"/>
    <mergeCell ref="C556:E556"/>
    <mergeCell ref="F556:I556"/>
    <mergeCell ref="M556:N556"/>
    <mergeCell ref="O556:P556"/>
    <mergeCell ref="Q556:U556"/>
    <mergeCell ref="A555:B555"/>
    <mergeCell ref="C555:E555"/>
    <mergeCell ref="F555:I555"/>
    <mergeCell ref="M555:N555"/>
    <mergeCell ref="O555:P555"/>
    <mergeCell ref="Q555:U555"/>
    <mergeCell ref="A554:B554"/>
    <mergeCell ref="C554:E554"/>
    <mergeCell ref="F554:I554"/>
    <mergeCell ref="M554:N554"/>
    <mergeCell ref="O554:P554"/>
    <mergeCell ref="Q554:U554"/>
    <mergeCell ref="A572:B572"/>
    <mergeCell ref="C572:E572"/>
    <mergeCell ref="F572:I572"/>
    <mergeCell ref="M572:N572"/>
    <mergeCell ref="O572:P572"/>
    <mergeCell ref="Q572:U572"/>
    <mergeCell ref="A571:B571"/>
    <mergeCell ref="C571:E571"/>
    <mergeCell ref="F571:I571"/>
    <mergeCell ref="M571:N571"/>
    <mergeCell ref="O571:P571"/>
    <mergeCell ref="Q571:U571"/>
    <mergeCell ref="A570:B570"/>
    <mergeCell ref="C570:E570"/>
    <mergeCell ref="F570:I570"/>
    <mergeCell ref="M570:N570"/>
    <mergeCell ref="O570:P570"/>
    <mergeCell ref="Q570:U570"/>
    <mergeCell ref="A569:B569"/>
    <mergeCell ref="C569:E569"/>
    <mergeCell ref="F569:I569"/>
    <mergeCell ref="M569:N569"/>
    <mergeCell ref="O569:P569"/>
    <mergeCell ref="Q569:U569"/>
    <mergeCell ref="A567:I567"/>
    <mergeCell ref="J567:K567"/>
    <mergeCell ref="L567:N567"/>
    <mergeCell ref="O567:U567"/>
    <mergeCell ref="A568:B568"/>
    <mergeCell ref="C568:E568"/>
    <mergeCell ref="F568:I568"/>
    <mergeCell ref="M568:N568"/>
    <mergeCell ref="O568:P568"/>
    <mergeCell ref="Q568:U568"/>
    <mergeCell ref="A578:B578"/>
    <mergeCell ref="C578:E578"/>
    <mergeCell ref="F578:I578"/>
    <mergeCell ref="M578:N578"/>
    <mergeCell ref="O578:P578"/>
    <mergeCell ref="Q578:U578"/>
    <mergeCell ref="A577:B577"/>
    <mergeCell ref="C577:E577"/>
    <mergeCell ref="F577:I577"/>
    <mergeCell ref="M577:N577"/>
    <mergeCell ref="O577:P577"/>
    <mergeCell ref="Q577:U577"/>
    <mergeCell ref="A576:B576"/>
    <mergeCell ref="C576:E576"/>
    <mergeCell ref="F576:I576"/>
    <mergeCell ref="M576:N576"/>
    <mergeCell ref="O576:P576"/>
    <mergeCell ref="Q576:U576"/>
    <mergeCell ref="A575:B575"/>
    <mergeCell ref="C575:E575"/>
    <mergeCell ref="F575:I575"/>
    <mergeCell ref="M575:N575"/>
    <mergeCell ref="O575:P575"/>
    <mergeCell ref="Q575:U575"/>
    <mergeCell ref="A574:B574"/>
    <mergeCell ref="C574:E574"/>
    <mergeCell ref="F574:I574"/>
    <mergeCell ref="M574:N574"/>
    <mergeCell ref="O574:P574"/>
    <mergeCell ref="Q574:U574"/>
    <mergeCell ref="A573:B573"/>
    <mergeCell ref="C573:E573"/>
    <mergeCell ref="F573:I573"/>
    <mergeCell ref="M573:N573"/>
    <mergeCell ref="O573:P573"/>
    <mergeCell ref="Q573:U573"/>
    <mergeCell ref="A584:B584"/>
    <mergeCell ref="C584:E584"/>
    <mergeCell ref="F584:I584"/>
    <mergeCell ref="M584:N584"/>
    <mergeCell ref="O584:P584"/>
    <mergeCell ref="Q584:U584"/>
    <mergeCell ref="A583:B583"/>
    <mergeCell ref="C583:E583"/>
    <mergeCell ref="F583:I583"/>
    <mergeCell ref="M583:N583"/>
    <mergeCell ref="O583:P583"/>
    <mergeCell ref="Q583:U583"/>
    <mergeCell ref="A582:B582"/>
    <mergeCell ref="C582:E582"/>
    <mergeCell ref="F582:I582"/>
    <mergeCell ref="M582:N582"/>
    <mergeCell ref="O582:P582"/>
    <mergeCell ref="Q582:U582"/>
    <mergeCell ref="A581:B581"/>
    <mergeCell ref="C581:E581"/>
    <mergeCell ref="F581:I581"/>
    <mergeCell ref="M581:N581"/>
    <mergeCell ref="O581:P581"/>
    <mergeCell ref="Q581:U581"/>
    <mergeCell ref="A580:B580"/>
    <mergeCell ref="C580:E580"/>
    <mergeCell ref="F580:I580"/>
    <mergeCell ref="M580:N580"/>
    <mergeCell ref="O580:P580"/>
    <mergeCell ref="Q580:U580"/>
    <mergeCell ref="A579:B579"/>
    <mergeCell ref="C579:E579"/>
    <mergeCell ref="F579:I579"/>
    <mergeCell ref="M579:N579"/>
    <mergeCell ref="O579:P579"/>
    <mergeCell ref="Q579:U579"/>
    <mergeCell ref="A590:B590"/>
    <mergeCell ref="C590:E590"/>
    <mergeCell ref="F590:I590"/>
    <mergeCell ref="M590:N590"/>
    <mergeCell ref="O590:P590"/>
    <mergeCell ref="Q590:U590"/>
    <mergeCell ref="A589:B589"/>
    <mergeCell ref="C589:E589"/>
    <mergeCell ref="F589:I589"/>
    <mergeCell ref="M589:N589"/>
    <mergeCell ref="O589:P589"/>
    <mergeCell ref="Q589:U589"/>
    <mergeCell ref="A588:B588"/>
    <mergeCell ref="C588:E588"/>
    <mergeCell ref="F588:I588"/>
    <mergeCell ref="M588:N588"/>
    <mergeCell ref="O588:P588"/>
    <mergeCell ref="Q588:U588"/>
    <mergeCell ref="A587:B587"/>
    <mergeCell ref="C587:E587"/>
    <mergeCell ref="F587:I587"/>
    <mergeCell ref="M587:N587"/>
    <mergeCell ref="O587:P587"/>
    <mergeCell ref="Q587:U587"/>
    <mergeCell ref="A586:B586"/>
    <mergeCell ref="C586:E586"/>
    <mergeCell ref="F586:I586"/>
    <mergeCell ref="M586:N586"/>
    <mergeCell ref="O586:P586"/>
    <mergeCell ref="Q586:U586"/>
    <mergeCell ref="A585:B585"/>
    <mergeCell ref="C585:E585"/>
    <mergeCell ref="F585:I585"/>
    <mergeCell ref="M585:N585"/>
    <mergeCell ref="O585:P585"/>
    <mergeCell ref="Q585:U585"/>
    <mergeCell ref="A596:B596"/>
    <mergeCell ref="C596:E596"/>
    <mergeCell ref="F596:I596"/>
    <mergeCell ref="M596:N596"/>
    <mergeCell ref="O596:P596"/>
    <mergeCell ref="Q596:U596"/>
    <mergeCell ref="A595:B595"/>
    <mergeCell ref="C595:E595"/>
    <mergeCell ref="F595:I595"/>
    <mergeCell ref="M595:N595"/>
    <mergeCell ref="O595:P595"/>
    <mergeCell ref="Q595:U595"/>
    <mergeCell ref="A594:B594"/>
    <mergeCell ref="C594:E594"/>
    <mergeCell ref="F594:I594"/>
    <mergeCell ref="M594:N594"/>
    <mergeCell ref="O594:P594"/>
    <mergeCell ref="Q594:U594"/>
    <mergeCell ref="A593:B593"/>
    <mergeCell ref="C593:E593"/>
    <mergeCell ref="F593:I593"/>
    <mergeCell ref="M593:N593"/>
    <mergeCell ref="O593:P593"/>
    <mergeCell ref="Q593:U593"/>
    <mergeCell ref="A592:B592"/>
    <mergeCell ref="C592:E592"/>
    <mergeCell ref="F592:I592"/>
    <mergeCell ref="M592:N592"/>
    <mergeCell ref="O592:P592"/>
    <mergeCell ref="Q592:U592"/>
    <mergeCell ref="A591:B591"/>
    <mergeCell ref="C591:E591"/>
    <mergeCell ref="F591:I591"/>
    <mergeCell ref="M591:N591"/>
    <mergeCell ref="O591:P591"/>
    <mergeCell ref="Q591:U591"/>
    <mergeCell ref="A602:B602"/>
    <mergeCell ref="C602:E602"/>
    <mergeCell ref="F602:I602"/>
    <mergeCell ref="M602:N602"/>
    <mergeCell ref="O602:P602"/>
    <mergeCell ref="Q602:U602"/>
    <mergeCell ref="A601:B601"/>
    <mergeCell ref="C601:E601"/>
    <mergeCell ref="F601:I601"/>
    <mergeCell ref="M601:N601"/>
    <mergeCell ref="O601:P601"/>
    <mergeCell ref="Q601:U601"/>
    <mergeCell ref="A600:B600"/>
    <mergeCell ref="C600:E600"/>
    <mergeCell ref="F600:I600"/>
    <mergeCell ref="M600:N600"/>
    <mergeCell ref="O600:P600"/>
    <mergeCell ref="Q600:U600"/>
    <mergeCell ref="A599:B599"/>
    <mergeCell ref="C599:E599"/>
    <mergeCell ref="F599:I599"/>
    <mergeCell ref="M599:N599"/>
    <mergeCell ref="O599:P599"/>
    <mergeCell ref="Q599:U599"/>
    <mergeCell ref="A598:B598"/>
    <mergeCell ref="C598:E598"/>
    <mergeCell ref="F598:I598"/>
    <mergeCell ref="M598:N598"/>
    <mergeCell ref="O598:P598"/>
    <mergeCell ref="Q598:U598"/>
    <mergeCell ref="A597:B597"/>
    <mergeCell ref="C597:E597"/>
    <mergeCell ref="F597:I597"/>
    <mergeCell ref="M597:N597"/>
    <mergeCell ref="O597:P597"/>
    <mergeCell ref="Q597:U597"/>
    <mergeCell ref="S609:W609"/>
    <mergeCell ref="C610:T610"/>
    <mergeCell ref="A611:F613"/>
    <mergeCell ref="G611:T611"/>
    <mergeCell ref="G612:R612"/>
    <mergeCell ref="G613:Q613"/>
    <mergeCell ref="A607:B607"/>
    <mergeCell ref="C607:E607"/>
    <mergeCell ref="F607:I607"/>
    <mergeCell ref="M607:N607"/>
    <mergeCell ref="O607:P607"/>
    <mergeCell ref="Q607:U607"/>
    <mergeCell ref="A606:B606"/>
    <mergeCell ref="C606:E606"/>
    <mergeCell ref="F606:I606"/>
    <mergeCell ref="M606:N606"/>
    <mergeCell ref="O606:P606"/>
    <mergeCell ref="Q606:U606"/>
    <mergeCell ref="A605:B605"/>
    <mergeCell ref="C605:E605"/>
    <mergeCell ref="F605:I605"/>
    <mergeCell ref="M605:N605"/>
    <mergeCell ref="O605:P605"/>
    <mergeCell ref="Q605:U605"/>
    <mergeCell ref="A604:B604"/>
    <mergeCell ref="C604:E604"/>
    <mergeCell ref="F604:I604"/>
    <mergeCell ref="M604:N604"/>
    <mergeCell ref="O604:P604"/>
    <mergeCell ref="Q604:U604"/>
    <mergeCell ref="A603:B603"/>
    <mergeCell ref="C603:E603"/>
    <mergeCell ref="F603:I603"/>
    <mergeCell ref="M603:N603"/>
    <mergeCell ref="O603:P603"/>
    <mergeCell ref="Q603:U603"/>
    <mergeCell ref="A622:B622"/>
    <mergeCell ref="C622:E622"/>
    <mergeCell ref="F622:I622"/>
    <mergeCell ref="M622:N622"/>
    <mergeCell ref="O622:P622"/>
    <mergeCell ref="Q622:U622"/>
    <mergeCell ref="A621:B621"/>
    <mergeCell ref="C621:E621"/>
    <mergeCell ref="F621:I621"/>
    <mergeCell ref="M621:N621"/>
    <mergeCell ref="O621:P621"/>
    <mergeCell ref="Q621:U621"/>
    <mergeCell ref="A620:B620"/>
    <mergeCell ref="C620:E620"/>
    <mergeCell ref="F620:I620"/>
    <mergeCell ref="M620:N620"/>
    <mergeCell ref="O620:P620"/>
    <mergeCell ref="Q620:U620"/>
    <mergeCell ref="A618:I618"/>
    <mergeCell ref="J618:K618"/>
    <mergeCell ref="L618:N618"/>
    <mergeCell ref="O618:U618"/>
    <mergeCell ref="A619:B619"/>
    <mergeCell ref="C619:E619"/>
    <mergeCell ref="F619:I619"/>
    <mergeCell ref="M619:N619"/>
    <mergeCell ref="O619:P619"/>
    <mergeCell ref="Q619:U619"/>
    <mergeCell ref="B614:G615"/>
    <mergeCell ref="H614:M614"/>
    <mergeCell ref="N614:S615"/>
    <mergeCell ref="T614:W615"/>
    <mergeCell ref="H615:M615"/>
    <mergeCell ref="B616:D616"/>
    <mergeCell ref="E616:Q617"/>
    <mergeCell ref="R616:S617"/>
    <mergeCell ref="T616:U617"/>
    <mergeCell ref="A628:B628"/>
    <mergeCell ref="C628:E628"/>
    <mergeCell ref="F628:I628"/>
    <mergeCell ref="M628:N628"/>
    <mergeCell ref="O628:P628"/>
    <mergeCell ref="Q628:U628"/>
    <mergeCell ref="A627:B627"/>
    <mergeCell ref="C627:E627"/>
    <mergeCell ref="F627:I627"/>
    <mergeCell ref="M627:N627"/>
    <mergeCell ref="O627:P627"/>
    <mergeCell ref="Q627:U627"/>
    <mergeCell ref="A626:B626"/>
    <mergeCell ref="C626:E626"/>
    <mergeCell ref="F626:I626"/>
    <mergeCell ref="M626:N626"/>
    <mergeCell ref="O626:P626"/>
    <mergeCell ref="Q626:U626"/>
    <mergeCell ref="A625:B625"/>
    <mergeCell ref="C625:E625"/>
    <mergeCell ref="F625:I625"/>
    <mergeCell ref="M625:N625"/>
    <mergeCell ref="O625:P625"/>
    <mergeCell ref="Q625:U625"/>
    <mergeCell ref="A624:B624"/>
    <mergeCell ref="C624:E624"/>
    <mergeCell ref="F624:I624"/>
    <mergeCell ref="M624:N624"/>
    <mergeCell ref="O624:P624"/>
    <mergeCell ref="Q624:U624"/>
    <mergeCell ref="A623:B623"/>
    <mergeCell ref="C623:E623"/>
    <mergeCell ref="F623:I623"/>
    <mergeCell ref="M623:N623"/>
    <mergeCell ref="O623:P623"/>
    <mergeCell ref="Q623:U623"/>
    <mergeCell ref="A634:B634"/>
    <mergeCell ref="C634:E634"/>
    <mergeCell ref="F634:I634"/>
    <mergeCell ref="M634:N634"/>
    <mergeCell ref="O634:P634"/>
    <mergeCell ref="Q634:U634"/>
    <mergeCell ref="A633:B633"/>
    <mergeCell ref="C633:E633"/>
    <mergeCell ref="F633:I633"/>
    <mergeCell ref="M633:N633"/>
    <mergeCell ref="O633:P633"/>
    <mergeCell ref="Q633:U633"/>
    <mergeCell ref="A632:B632"/>
    <mergeCell ref="C632:E632"/>
    <mergeCell ref="F632:I632"/>
    <mergeCell ref="M632:N632"/>
    <mergeCell ref="O632:P632"/>
    <mergeCell ref="Q632:U632"/>
    <mergeCell ref="A631:B631"/>
    <mergeCell ref="C631:E631"/>
    <mergeCell ref="F631:I631"/>
    <mergeCell ref="M631:N631"/>
    <mergeCell ref="O631:P631"/>
    <mergeCell ref="Q631:U631"/>
    <mergeCell ref="A630:B630"/>
    <mergeCell ref="C630:E630"/>
    <mergeCell ref="F630:I630"/>
    <mergeCell ref="M630:N630"/>
    <mergeCell ref="O630:P630"/>
    <mergeCell ref="Q630:U630"/>
    <mergeCell ref="A629:B629"/>
    <mergeCell ref="C629:E629"/>
    <mergeCell ref="F629:I629"/>
    <mergeCell ref="M629:N629"/>
    <mergeCell ref="O629:P629"/>
    <mergeCell ref="Q629:U629"/>
    <mergeCell ref="A640:B640"/>
    <mergeCell ref="C640:E640"/>
    <mergeCell ref="F640:I640"/>
    <mergeCell ref="M640:N640"/>
    <mergeCell ref="O640:P640"/>
    <mergeCell ref="Q640:U640"/>
    <mergeCell ref="A639:B639"/>
    <mergeCell ref="C639:E639"/>
    <mergeCell ref="F639:I639"/>
    <mergeCell ref="M639:N639"/>
    <mergeCell ref="O639:P639"/>
    <mergeCell ref="Q639:U639"/>
    <mergeCell ref="A638:B638"/>
    <mergeCell ref="C638:E638"/>
    <mergeCell ref="F638:I638"/>
    <mergeCell ref="M638:N638"/>
    <mergeCell ref="O638:P638"/>
    <mergeCell ref="Q638:U638"/>
    <mergeCell ref="A637:B637"/>
    <mergeCell ref="C637:E637"/>
    <mergeCell ref="F637:I637"/>
    <mergeCell ref="M637:N637"/>
    <mergeCell ref="O637:P637"/>
    <mergeCell ref="Q637:U637"/>
    <mergeCell ref="A636:B636"/>
    <mergeCell ref="C636:E636"/>
    <mergeCell ref="F636:I636"/>
    <mergeCell ref="M636:N636"/>
    <mergeCell ref="O636:P636"/>
    <mergeCell ref="Q636:U636"/>
    <mergeCell ref="A635:B635"/>
    <mergeCell ref="C635:E635"/>
    <mergeCell ref="F635:I635"/>
    <mergeCell ref="M635:N635"/>
    <mergeCell ref="O635:P635"/>
    <mergeCell ref="Q635:U635"/>
    <mergeCell ref="A646:B646"/>
    <mergeCell ref="C646:E646"/>
    <mergeCell ref="F646:I646"/>
    <mergeCell ref="M646:N646"/>
    <mergeCell ref="O646:P646"/>
    <mergeCell ref="Q646:U646"/>
    <mergeCell ref="A645:B645"/>
    <mergeCell ref="C645:E645"/>
    <mergeCell ref="F645:I645"/>
    <mergeCell ref="M645:N645"/>
    <mergeCell ref="O645:P645"/>
    <mergeCell ref="Q645:U645"/>
    <mergeCell ref="A644:B644"/>
    <mergeCell ref="C644:E644"/>
    <mergeCell ref="F644:I644"/>
    <mergeCell ref="M644:N644"/>
    <mergeCell ref="O644:P644"/>
    <mergeCell ref="Q644:U644"/>
    <mergeCell ref="A643:B643"/>
    <mergeCell ref="C643:E643"/>
    <mergeCell ref="F643:I643"/>
    <mergeCell ref="M643:N643"/>
    <mergeCell ref="O643:P643"/>
    <mergeCell ref="Q643:U643"/>
    <mergeCell ref="A642:B642"/>
    <mergeCell ref="C642:E642"/>
    <mergeCell ref="F642:I642"/>
    <mergeCell ref="M642:N642"/>
    <mergeCell ref="O642:P642"/>
    <mergeCell ref="Q642:U642"/>
    <mergeCell ref="A641:B641"/>
    <mergeCell ref="C641:E641"/>
    <mergeCell ref="F641:I641"/>
    <mergeCell ref="M641:N641"/>
    <mergeCell ref="O641:P641"/>
    <mergeCell ref="Q641:U641"/>
    <mergeCell ref="A652:B652"/>
    <mergeCell ref="C652:E652"/>
    <mergeCell ref="F652:I652"/>
    <mergeCell ref="M652:N652"/>
    <mergeCell ref="O652:P652"/>
    <mergeCell ref="Q652:U652"/>
    <mergeCell ref="A651:B651"/>
    <mergeCell ref="C651:E651"/>
    <mergeCell ref="F651:I651"/>
    <mergeCell ref="M651:N651"/>
    <mergeCell ref="O651:P651"/>
    <mergeCell ref="Q651:U651"/>
    <mergeCell ref="A650:B650"/>
    <mergeCell ref="C650:E650"/>
    <mergeCell ref="F650:I650"/>
    <mergeCell ref="M650:N650"/>
    <mergeCell ref="O650:P650"/>
    <mergeCell ref="Q650:U650"/>
    <mergeCell ref="A649:B649"/>
    <mergeCell ref="C649:E649"/>
    <mergeCell ref="F649:I649"/>
    <mergeCell ref="M649:N649"/>
    <mergeCell ref="O649:P649"/>
    <mergeCell ref="Q649:U649"/>
    <mergeCell ref="A648:B648"/>
    <mergeCell ref="C648:E648"/>
    <mergeCell ref="F648:I648"/>
    <mergeCell ref="M648:N648"/>
    <mergeCell ref="O648:P648"/>
    <mergeCell ref="Q648:U648"/>
    <mergeCell ref="A647:B647"/>
    <mergeCell ref="C647:E647"/>
    <mergeCell ref="F647:I647"/>
    <mergeCell ref="M647:N647"/>
    <mergeCell ref="O647:P647"/>
    <mergeCell ref="Q647:U647"/>
    <mergeCell ref="S659:W659"/>
    <mergeCell ref="C660:T660"/>
    <mergeCell ref="A661:F663"/>
    <mergeCell ref="G661:T661"/>
    <mergeCell ref="G662:R662"/>
    <mergeCell ref="G663:Q663"/>
    <mergeCell ref="A657:B657"/>
    <mergeCell ref="C657:E657"/>
    <mergeCell ref="F657:I657"/>
    <mergeCell ref="M657:N657"/>
    <mergeCell ref="O657:P657"/>
    <mergeCell ref="Q657:U657"/>
    <mergeCell ref="A656:B656"/>
    <mergeCell ref="C656:E656"/>
    <mergeCell ref="F656:I656"/>
    <mergeCell ref="M656:N656"/>
    <mergeCell ref="O656:P656"/>
    <mergeCell ref="Q656:U656"/>
    <mergeCell ref="A655:B655"/>
    <mergeCell ref="C655:E655"/>
    <mergeCell ref="F655:I655"/>
    <mergeCell ref="M655:N655"/>
    <mergeCell ref="O655:P655"/>
    <mergeCell ref="Q655:U655"/>
    <mergeCell ref="A654:B654"/>
    <mergeCell ref="C654:E654"/>
    <mergeCell ref="F654:I654"/>
    <mergeCell ref="M654:N654"/>
    <mergeCell ref="O654:P654"/>
    <mergeCell ref="Q654:U654"/>
    <mergeCell ref="A653:B653"/>
    <mergeCell ref="C653:E653"/>
    <mergeCell ref="F653:I653"/>
    <mergeCell ref="M653:N653"/>
    <mergeCell ref="O653:P653"/>
    <mergeCell ref="Q653:U653"/>
    <mergeCell ref="A672:B672"/>
    <mergeCell ref="C672:E672"/>
    <mergeCell ref="F672:I672"/>
    <mergeCell ref="M672:N672"/>
    <mergeCell ref="O672:P672"/>
    <mergeCell ref="Q672:U672"/>
    <mergeCell ref="A671:B671"/>
    <mergeCell ref="C671:E671"/>
    <mergeCell ref="F671:I671"/>
    <mergeCell ref="M671:N671"/>
    <mergeCell ref="O671:P671"/>
    <mergeCell ref="Q671:U671"/>
    <mergeCell ref="A670:B670"/>
    <mergeCell ref="C670:E670"/>
    <mergeCell ref="F670:I670"/>
    <mergeCell ref="M670:N670"/>
    <mergeCell ref="O670:P670"/>
    <mergeCell ref="Q670:U670"/>
    <mergeCell ref="A668:I668"/>
    <mergeCell ref="J668:K668"/>
    <mergeCell ref="L668:N668"/>
    <mergeCell ref="O668:U668"/>
    <mergeCell ref="A669:B669"/>
    <mergeCell ref="C669:E669"/>
    <mergeCell ref="F669:I669"/>
    <mergeCell ref="M669:N669"/>
    <mergeCell ref="O669:P669"/>
    <mergeCell ref="Q669:U669"/>
    <mergeCell ref="B664:G665"/>
    <mergeCell ref="H664:M664"/>
    <mergeCell ref="N664:S665"/>
    <mergeCell ref="T664:W665"/>
    <mergeCell ref="H665:M665"/>
    <mergeCell ref="B666:D666"/>
    <mergeCell ref="E666:Q667"/>
    <mergeCell ref="R666:S667"/>
    <mergeCell ref="T666:U667"/>
    <mergeCell ref="A678:B678"/>
    <mergeCell ref="C678:E678"/>
    <mergeCell ref="F678:I678"/>
    <mergeCell ref="M678:N678"/>
    <mergeCell ref="O678:P678"/>
    <mergeCell ref="Q678:U678"/>
    <mergeCell ref="A677:B677"/>
    <mergeCell ref="C677:E677"/>
    <mergeCell ref="F677:I677"/>
    <mergeCell ref="M677:N677"/>
    <mergeCell ref="O677:P677"/>
    <mergeCell ref="Q677:U677"/>
    <mergeCell ref="A676:B676"/>
    <mergeCell ref="C676:E676"/>
    <mergeCell ref="F676:I676"/>
    <mergeCell ref="M676:N676"/>
    <mergeCell ref="O676:P676"/>
    <mergeCell ref="Q676:U676"/>
    <mergeCell ref="A675:B675"/>
    <mergeCell ref="C675:E675"/>
    <mergeCell ref="F675:I675"/>
    <mergeCell ref="M675:N675"/>
    <mergeCell ref="O675:P675"/>
    <mergeCell ref="Q675:U675"/>
    <mergeCell ref="A674:B674"/>
    <mergeCell ref="C674:E674"/>
    <mergeCell ref="F674:I674"/>
    <mergeCell ref="M674:N674"/>
    <mergeCell ref="O674:P674"/>
    <mergeCell ref="Q674:U674"/>
    <mergeCell ref="A673:B673"/>
    <mergeCell ref="C673:E673"/>
    <mergeCell ref="F673:I673"/>
    <mergeCell ref="M673:N673"/>
    <mergeCell ref="O673:P673"/>
    <mergeCell ref="Q673:U673"/>
    <mergeCell ref="A684:B684"/>
    <mergeCell ref="C684:E684"/>
    <mergeCell ref="F684:I684"/>
    <mergeCell ref="M684:N684"/>
    <mergeCell ref="O684:P684"/>
    <mergeCell ref="Q684:U684"/>
    <mergeCell ref="A683:B683"/>
    <mergeCell ref="C683:E683"/>
    <mergeCell ref="F683:I683"/>
    <mergeCell ref="M683:N683"/>
    <mergeCell ref="O683:P683"/>
    <mergeCell ref="Q683:U683"/>
    <mergeCell ref="A682:B682"/>
    <mergeCell ref="C682:E682"/>
    <mergeCell ref="F682:I682"/>
    <mergeCell ref="M682:N682"/>
    <mergeCell ref="O682:P682"/>
    <mergeCell ref="Q682:U682"/>
    <mergeCell ref="A681:B681"/>
    <mergeCell ref="C681:E681"/>
    <mergeCell ref="F681:I681"/>
    <mergeCell ref="M681:N681"/>
    <mergeCell ref="O681:P681"/>
    <mergeCell ref="Q681:U681"/>
    <mergeCell ref="A680:B680"/>
    <mergeCell ref="C680:E680"/>
    <mergeCell ref="F680:I680"/>
    <mergeCell ref="M680:N680"/>
    <mergeCell ref="O680:P680"/>
    <mergeCell ref="Q680:U680"/>
    <mergeCell ref="A679:B679"/>
    <mergeCell ref="C679:E679"/>
    <mergeCell ref="F679:I679"/>
    <mergeCell ref="M679:N679"/>
    <mergeCell ref="O679:P679"/>
    <mergeCell ref="Q679:U679"/>
    <mergeCell ref="A690:B690"/>
    <mergeCell ref="C690:E690"/>
    <mergeCell ref="F690:I690"/>
    <mergeCell ref="M690:N690"/>
    <mergeCell ref="O690:P690"/>
    <mergeCell ref="Q690:U690"/>
    <mergeCell ref="A689:B689"/>
    <mergeCell ref="C689:E689"/>
    <mergeCell ref="F689:I689"/>
    <mergeCell ref="M689:N689"/>
    <mergeCell ref="O689:P689"/>
    <mergeCell ref="Q689:U689"/>
    <mergeCell ref="A688:B688"/>
    <mergeCell ref="C688:E688"/>
    <mergeCell ref="F688:I688"/>
    <mergeCell ref="M688:N688"/>
    <mergeCell ref="O688:P688"/>
    <mergeCell ref="Q688:U688"/>
    <mergeCell ref="A687:B687"/>
    <mergeCell ref="C687:E687"/>
    <mergeCell ref="F687:I687"/>
    <mergeCell ref="M687:N687"/>
    <mergeCell ref="O687:P687"/>
    <mergeCell ref="Q687:U687"/>
    <mergeCell ref="A686:B686"/>
    <mergeCell ref="C686:E686"/>
    <mergeCell ref="F686:I686"/>
    <mergeCell ref="M686:N686"/>
    <mergeCell ref="O686:P686"/>
    <mergeCell ref="Q686:U686"/>
    <mergeCell ref="A685:B685"/>
    <mergeCell ref="C685:E685"/>
    <mergeCell ref="F685:I685"/>
    <mergeCell ref="M685:N685"/>
    <mergeCell ref="O685:P685"/>
    <mergeCell ref="Q685:U685"/>
    <mergeCell ref="A696:B696"/>
    <mergeCell ref="C696:E696"/>
    <mergeCell ref="F696:I696"/>
    <mergeCell ref="M696:N696"/>
    <mergeCell ref="O696:P696"/>
    <mergeCell ref="Q696:U696"/>
    <mergeCell ref="A695:B695"/>
    <mergeCell ref="C695:E695"/>
    <mergeCell ref="F695:I695"/>
    <mergeCell ref="M695:N695"/>
    <mergeCell ref="O695:P695"/>
    <mergeCell ref="Q695:U695"/>
    <mergeCell ref="A694:B694"/>
    <mergeCell ref="C694:E694"/>
    <mergeCell ref="F694:I694"/>
    <mergeCell ref="M694:N694"/>
    <mergeCell ref="O694:P694"/>
    <mergeCell ref="Q694:U694"/>
    <mergeCell ref="A693:B693"/>
    <mergeCell ref="C693:E693"/>
    <mergeCell ref="F693:I693"/>
    <mergeCell ref="M693:N693"/>
    <mergeCell ref="O693:P693"/>
    <mergeCell ref="Q693:U693"/>
    <mergeCell ref="A692:B692"/>
    <mergeCell ref="C692:E692"/>
    <mergeCell ref="F692:I692"/>
    <mergeCell ref="M692:N692"/>
    <mergeCell ref="O692:P692"/>
    <mergeCell ref="Q692:U692"/>
    <mergeCell ref="A691:B691"/>
    <mergeCell ref="C691:E691"/>
    <mergeCell ref="F691:I691"/>
    <mergeCell ref="M691:N691"/>
    <mergeCell ref="O691:P691"/>
    <mergeCell ref="Q691:U691"/>
    <mergeCell ref="A702:B702"/>
    <mergeCell ref="C702:E702"/>
    <mergeCell ref="F702:I702"/>
    <mergeCell ref="M702:N702"/>
    <mergeCell ref="O702:P702"/>
    <mergeCell ref="Q702:U702"/>
    <mergeCell ref="A701:B701"/>
    <mergeCell ref="C701:E701"/>
    <mergeCell ref="F701:I701"/>
    <mergeCell ref="M701:N701"/>
    <mergeCell ref="O701:P701"/>
    <mergeCell ref="Q701:U701"/>
    <mergeCell ref="A700:B700"/>
    <mergeCell ref="C700:E700"/>
    <mergeCell ref="F700:I700"/>
    <mergeCell ref="M700:N700"/>
    <mergeCell ref="O700:P700"/>
    <mergeCell ref="Q700:U700"/>
    <mergeCell ref="A699:B699"/>
    <mergeCell ref="C699:E699"/>
    <mergeCell ref="F699:I699"/>
    <mergeCell ref="M699:N699"/>
    <mergeCell ref="O699:P699"/>
    <mergeCell ref="Q699:U699"/>
    <mergeCell ref="A698:B698"/>
    <mergeCell ref="C698:E698"/>
    <mergeCell ref="F698:I698"/>
    <mergeCell ref="M698:N698"/>
    <mergeCell ref="O698:P698"/>
    <mergeCell ref="Q698:U698"/>
    <mergeCell ref="A697:B697"/>
    <mergeCell ref="C697:E697"/>
    <mergeCell ref="F697:I697"/>
    <mergeCell ref="M697:N697"/>
    <mergeCell ref="O697:P697"/>
    <mergeCell ref="Q697:U697"/>
    <mergeCell ref="A708:B708"/>
    <mergeCell ref="C708:E708"/>
    <mergeCell ref="F708:I708"/>
    <mergeCell ref="M708:N708"/>
    <mergeCell ref="O708:P708"/>
    <mergeCell ref="Q708:U708"/>
    <mergeCell ref="A707:B707"/>
    <mergeCell ref="C707:E707"/>
    <mergeCell ref="F707:I707"/>
    <mergeCell ref="M707:N707"/>
    <mergeCell ref="O707:P707"/>
    <mergeCell ref="Q707:U707"/>
    <mergeCell ref="A706:B706"/>
    <mergeCell ref="C706:E706"/>
    <mergeCell ref="F706:I706"/>
    <mergeCell ref="M706:N706"/>
    <mergeCell ref="O706:P706"/>
    <mergeCell ref="Q706:U706"/>
    <mergeCell ref="A705:B705"/>
    <mergeCell ref="C705:E705"/>
    <mergeCell ref="F705:I705"/>
    <mergeCell ref="M705:N705"/>
    <mergeCell ref="O705:P705"/>
    <mergeCell ref="Q705:U705"/>
    <mergeCell ref="A704:B704"/>
    <mergeCell ref="C704:E704"/>
    <mergeCell ref="F704:I704"/>
    <mergeCell ref="M704:N704"/>
    <mergeCell ref="O704:P704"/>
    <mergeCell ref="Q704:U704"/>
    <mergeCell ref="A703:B703"/>
    <mergeCell ref="C703:E703"/>
    <mergeCell ref="F703:I703"/>
    <mergeCell ref="M703:N703"/>
    <mergeCell ref="O703:P703"/>
    <mergeCell ref="Q703:U703"/>
    <mergeCell ref="A722:B722"/>
    <mergeCell ref="C722:E722"/>
    <mergeCell ref="F722:I722"/>
    <mergeCell ref="M722:N722"/>
    <mergeCell ref="O722:P722"/>
    <mergeCell ref="Q722:U722"/>
    <mergeCell ref="A721:B721"/>
    <mergeCell ref="C721:E721"/>
    <mergeCell ref="F721:I721"/>
    <mergeCell ref="M721:N721"/>
    <mergeCell ref="O721:P721"/>
    <mergeCell ref="Q721:U721"/>
    <mergeCell ref="A719:I719"/>
    <mergeCell ref="J719:K719"/>
    <mergeCell ref="L719:N719"/>
    <mergeCell ref="O719:U719"/>
    <mergeCell ref="A720:B720"/>
    <mergeCell ref="C720:E720"/>
    <mergeCell ref="F720:I720"/>
    <mergeCell ref="M720:N720"/>
    <mergeCell ref="O720:P720"/>
    <mergeCell ref="Q720:U720"/>
    <mergeCell ref="B715:G716"/>
    <mergeCell ref="H715:M715"/>
    <mergeCell ref="N715:S716"/>
    <mergeCell ref="T715:W716"/>
    <mergeCell ref="H716:M716"/>
    <mergeCell ref="B717:D717"/>
    <mergeCell ref="E717:Q718"/>
    <mergeCell ref="R717:S718"/>
    <mergeCell ref="T717:U718"/>
    <mergeCell ref="S710:W710"/>
    <mergeCell ref="C711:T711"/>
    <mergeCell ref="A712:F714"/>
    <mergeCell ref="G712:T712"/>
    <mergeCell ref="G713:R713"/>
    <mergeCell ref="G714:Q714"/>
    <mergeCell ref="A728:B728"/>
    <mergeCell ref="C728:E728"/>
    <mergeCell ref="F728:I728"/>
    <mergeCell ref="M728:N728"/>
    <mergeCell ref="O728:P728"/>
    <mergeCell ref="Q728:U728"/>
    <mergeCell ref="A727:B727"/>
    <mergeCell ref="C727:E727"/>
    <mergeCell ref="F727:I727"/>
    <mergeCell ref="M727:N727"/>
    <mergeCell ref="O727:P727"/>
    <mergeCell ref="Q727:U727"/>
    <mergeCell ref="A726:B726"/>
    <mergeCell ref="C726:E726"/>
    <mergeCell ref="F726:I726"/>
    <mergeCell ref="M726:N726"/>
    <mergeCell ref="O726:P726"/>
    <mergeCell ref="Q726:U726"/>
    <mergeCell ref="A725:B725"/>
    <mergeCell ref="C725:E725"/>
    <mergeCell ref="F725:I725"/>
    <mergeCell ref="M725:N725"/>
    <mergeCell ref="O725:P725"/>
    <mergeCell ref="Q725:U725"/>
    <mergeCell ref="A724:B724"/>
    <mergeCell ref="C724:E724"/>
    <mergeCell ref="F724:I724"/>
    <mergeCell ref="M724:N724"/>
    <mergeCell ref="O724:P724"/>
    <mergeCell ref="Q724:U724"/>
    <mergeCell ref="A723:B723"/>
    <mergeCell ref="C723:E723"/>
    <mergeCell ref="F723:I723"/>
    <mergeCell ref="M723:N723"/>
    <mergeCell ref="O723:P723"/>
    <mergeCell ref="Q723:U723"/>
    <mergeCell ref="A734:B734"/>
    <mergeCell ref="C734:E734"/>
    <mergeCell ref="F734:I734"/>
    <mergeCell ref="M734:N734"/>
    <mergeCell ref="O734:P734"/>
    <mergeCell ref="Q734:U734"/>
    <mergeCell ref="A733:B733"/>
    <mergeCell ref="C733:E733"/>
    <mergeCell ref="F733:I733"/>
    <mergeCell ref="M733:N733"/>
    <mergeCell ref="O733:P733"/>
    <mergeCell ref="Q733:U733"/>
    <mergeCell ref="A732:B732"/>
    <mergeCell ref="C732:E732"/>
    <mergeCell ref="F732:I732"/>
    <mergeCell ref="M732:N732"/>
    <mergeCell ref="O732:P732"/>
    <mergeCell ref="Q732:U732"/>
    <mergeCell ref="A731:B731"/>
    <mergeCell ref="C731:E731"/>
    <mergeCell ref="F731:I731"/>
    <mergeCell ref="M731:N731"/>
    <mergeCell ref="O731:P731"/>
    <mergeCell ref="Q731:U731"/>
    <mergeCell ref="A730:B730"/>
    <mergeCell ref="C730:E730"/>
    <mergeCell ref="F730:I730"/>
    <mergeCell ref="M730:N730"/>
    <mergeCell ref="O730:P730"/>
    <mergeCell ref="Q730:U730"/>
    <mergeCell ref="A729:B729"/>
    <mergeCell ref="C729:E729"/>
    <mergeCell ref="F729:I729"/>
    <mergeCell ref="M729:N729"/>
    <mergeCell ref="O729:P729"/>
    <mergeCell ref="Q729:U729"/>
    <mergeCell ref="A740:B740"/>
    <mergeCell ref="C740:E740"/>
    <mergeCell ref="F740:I740"/>
    <mergeCell ref="M740:N740"/>
    <mergeCell ref="O740:P740"/>
    <mergeCell ref="Q740:U740"/>
    <mergeCell ref="A739:B739"/>
    <mergeCell ref="C739:E739"/>
    <mergeCell ref="F739:I739"/>
    <mergeCell ref="M739:N739"/>
    <mergeCell ref="O739:P739"/>
    <mergeCell ref="Q739:U739"/>
    <mergeCell ref="A738:B738"/>
    <mergeCell ref="C738:E738"/>
    <mergeCell ref="F738:I738"/>
    <mergeCell ref="M738:N738"/>
    <mergeCell ref="O738:P738"/>
    <mergeCell ref="Q738:U738"/>
    <mergeCell ref="A737:B737"/>
    <mergeCell ref="C737:E737"/>
    <mergeCell ref="F737:I737"/>
    <mergeCell ref="M737:N737"/>
    <mergeCell ref="O737:P737"/>
    <mergeCell ref="Q737:U737"/>
    <mergeCell ref="A736:B736"/>
    <mergeCell ref="C736:E736"/>
    <mergeCell ref="F736:I736"/>
    <mergeCell ref="M736:N736"/>
    <mergeCell ref="O736:P736"/>
    <mergeCell ref="Q736:U736"/>
    <mergeCell ref="A735:B735"/>
    <mergeCell ref="C735:E735"/>
    <mergeCell ref="F735:I735"/>
    <mergeCell ref="M735:N735"/>
    <mergeCell ref="O735:P735"/>
    <mergeCell ref="Q735:U735"/>
    <mergeCell ref="A746:B746"/>
    <mergeCell ref="C746:E746"/>
    <mergeCell ref="F746:I746"/>
    <mergeCell ref="M746:N746"/>
    <mergeCell ref="O746:P746"/>
    <mergeCell ref="Q746:U746"/>
    <mergeCell ref="A745:B745"/>
    <mergeCell ref="C745:E745"/>
    <mergeCell ref="F745:I745"/>
    <mergeCell ref="M745:N745"/>
    <mergeCell ref="O745:P745"/>
    <mergeCell ref="Q745:U745"/>
    <mergeCell ref="A744:B744"/>
    <mergeCell ref="C744:E744"/>
    <mergeCell ref="F744:I744"/>
    <mergeCell ref="M744:N744"/>
    <mergeCell ref="O744:P744"/>
    <mergeCell ref="Q744:U744"/>
    <mergeCell ref="A743:B743"/>
    <mergeCell ref="C743:E743"/>
    <mergeCell ref="F743:I743"/>
    <mergeCell ref="M743:N743"/>
    <mergeCell ref="O743:P743"/>
    <mergeCell ref="Q743:U743"/>
    <mergeCell ref="A742:B742"/>
    <mergeCell ref="C742:E742"/>
    <mergeCell ref="F742:I742"/>
    <mergeCell ref="M742:N742"/>
    <mergeCell ref="O742:P742"/>
    <mergeCell ref="Q742:U742"/>
    <mergeCell ref="A741:B741"/>
    <mergeCell ref="C741:E741"/>
    <mergeCell ref="F741:I741"/>
    <mergeCell ref="M741:N741"/>
    <mergeCell ref="O741:P741"/>
    <mergeCell ref="Q741:U741"/>
    <mergeCell ref="A752:B752"/>
    <mergeCell ref="C752:E752"/>
    <mergeCell ref="F752:I752"/>
    <mergeCell ref="M752:N752"/>
    <mergeCell ref="O752:P752"/>
    <mergeCell ref="Q752:U752"/>
    <mergeCell ref="A751:B751"/>
    <mergeCell ref="C751:E751"/>
    <mergeCell ref="F751:I751"/>
    <mergeCell ref="M751:N751"/>
    <mergeCell ref="O751:P751"/>
    <mergeCell ref="Q751:U751"/>
    <mergeCell ref="A750:B750"/>
    <mergeCell ref="C750:E750"/>
    <mergeCell ref="F750:I750"/>
    <mergeCell ref="M750:N750"/>
    <mergeCell ref="O750:P750"/>
    <mergeCell ref="Q750:U750"/>
    <mergeCell ref="A749:B749"/>
    <mergeCell ref="C749:E749"/>
    <mergeCell ref="F749:I749"/>
    <mergeCell ref="M749:N749"/>
    <mergeCell ref="O749:P749"/>
    <mergeCell ref="Q749:U749"/>
    <mergeCell ref="A748:B748"/>
    <mergeCell ref="C748:E748"/>
    <mergeCell ref="F748:I748"/>
    <mergeCell ref="M748:N748"/>
    <mergeCell ref="O748:P748"/>
    <mergeCell ref="Q748:U748"/>
    <mergeCell ref="A747:B747"/>
    <mergeCell ref="C747:E747"/>
    <mergeCell ref="F747:I747"/>
    <mergeCell ref="M747:N747"/>
    <mergeCell ref="O747:P747"/>
    <mergeCell ref="Q747:U747"/>
    <mergeCell ref="A758:B758"/>
    <mergeCell ref="C758:E758"/>
    <mergeCell ref="F758:I758"/>
    <mergeCell ref="M758:N758"/>
    <mergeCell ref="O758:P758"/>
    <mergeCell ref="Q758:U758"/>
    <mergeCell ref="A757:B757"/>
    <mergeCell ref="C757:E757"/>
    <mergeCell ref="F757:I757"/>
    <mergeCell ref="M757:N757"/>
    <mergeCell ref="O757:P757"/>
    <mergeCell ref="Q757:U757"/>
    <mergeCell ref="A756:B756"/>
    <mergeCell ref="C756:E756"/>
    <mergeCell ref="F756:I756"/>
    <mergeCell ref="M756:N756"/>
    <mergeCell ref="O756:P756"/>
    <mergeCell ref="Q756:U756"/>
    <mergeCell ref="A755:B755"/>
    <mergeCell ref="C755:E755"/>
    <mergeCell ref="F755:I755"/>
    <mergeCell ref="M755:N755"/>
    <mergeCell ref="O755:P755"/>
    <mergeCell ref="Q755:U755"/>
    <mergeCell ref="A754:B754"/>
    <mergeCell ref="C754:E754"/>
    <mergeCell ref="F754:I754"/>
    <mergeCell ref="M754:N754"/>
    <mergeCell ref="O754:P754"/>
    <mergeCell ref="Q754:U754"/>
    <mergeCell ref="A753:B753"/>
    <mergeCell ref="C753:E753"/>
    <mergeCell ref="F753:I753"/>
    <mergeCell ref="M753:N753"/>
    <mergeCell ref="O753:P753"/>
    <mergeCell ref="Q753:U753"/>
    <mergeCell ref="A770:I770"/>
    <mergeCell ref="J770:K770"/>
    <mergeCell ref="L770:N770"/>
    <mergeCell ref="O770:U770"/>
    <mergeCell ref="A771:B771"/>
    <mergeCell ref="C771:E771"/>
    <mergeCell ref="F771:I771"/>
    <mergeCell ref="M771:N771"/>
    <mergeCell ref="O771:P771"/>
    <mergeCell ref="Q771:U771"/>
    <mergeCell ref="B766:G767"/>
    <mergeCell ref="H766:M766"/>
    <mergeCell ref="N766:S767"/>
    <mergeCell ref="T766:W767"/>
    <mergeCell ref="H767:M767"/>
    <mergeCell ref="B768:D768"/>
    <mergeCell ref="E768:Q769"/>
    <mergeCell ref="R768:S769"/>
    <mergeCell ref="T768:U769"/>
    <mergeCell ref="S761:W761"/>
    <mergeCell ref="C762:T762"/>
    <mergeCell ref="A763:F765"/>
    <mergeCell ref="G763:T763"/>
    <mergeCell ref="G764:R764"/>
    <mergeCell ref="G765:Q765"/>
    <mergeCell ref="A760:B760"/>
    <mergeCell ref="C760:E760"/>
    <mergeCell ref="F760:I760"/>
    <mergeCell ref="M760:N760"/>
    <mergeCell ref="O760:P760"/>
    <mergeCell ref="Q760:U760"/>
    <mergeCell ref="A759:B759"/>
    <mergeCell ref="C759:E759"/>
    <mergeCell ref="F759:I759"/>
    <mergeCell ref="M759:N759"/>
    <mergeCell ref="O759:P759"/>
    <mergeCell ref="Q759:U759"/>
    <mergeCell ref="A777:B777"/>
    <mergeCell ref="C777:E777"/>
    <mergeCell ref="F777:I777"/>
    <mergeCell ref="M777:N777"/>
    <mergeCell ref="O777:P777"/>
    <mergeCell ref="Q777:U777"/>
    <mergeCell ref="A776:B776"/>
    <mergeCell ref="C776:E776"/>
    <mergeCell ref="F776:I776"/>
    <mergeCell ref="M776:N776"/>
    <mergeCell ref="O776:P776"/>
    <mergeCell ref="Q776:U776"/>
    <mergeCell ref="A775:B775"/>
    <mergeCell ref="C775:E775"/>
    <mergeCell ref="F775:I775"/>
    <mergeCell ref="M775:N775"/>
    <mergeCell ref="O775:P775"/>
    <mergeCell ref="Q775:U775"/>
    <mergeCell ref="A774:B774"/>
    <mergeCell ref="C774:E774"/>
    <mergeCell ref="F774:I774"/>
    <mergeCell ref="M774:N774"/>
    <mergeCell ref="O774:P774"/>
    <mergeCell ref="Q774:U774"/>
    <mergeCell ref="A773:B773"/>
    <mergeCell ref="C773:E773"/>
    <mergeCell ref="F773:I773"/>
    <mergeCell ref="M773:N773"/>
    <mergeCell ref="O773:P773"/>
    <mergeCell ref="Q773:U773"/>
    <mergeCell ref="A772:B772"/>
    <mergeCell ref="C772:E772"/>
    <mergeCell ref="F772:I772"/>
    <mergeCell ref="M772:N772"/>
    <mergeCell ref="O772:P772"/>
    <mergeCell ref="Q772:U772"/>
    <mergeCell ref="A783:B783"/>
    <mergeCell ref="C783:E783"/>
    <mergeCell ref="F783:I783"/>
    <mergeCell ref="M783:N783"/>
    <mergeCell ref="O783:P783"/>
    <mergeCell ref="Q783:U783"/>
    <mergeCell ref="A782:B782"/>
    <mergeCell ref="C782:E782"/>
    <mergeCell ref="F782:I782"/>
    <mergeCell ref="M782:N782"/>
    <mergeCell ref="O782:P782"/>
    <mergeCell ref="Q782:U782"/>
    <mergeCell ref="A781:B781"/>
    <mergeCell ref="C781:E781"/>
    <mergeCell ref="F781:I781"/>
    <mergeCell ref="M781:N781"/>
    <mergeCell ref="O781:P781"/>
    <mergeCell ref="Q781:U781"/>
    <mergeCell ref="A780:B780"/>
    <mergeCell ref="C780:E780"/>
    <mergeCell ref="F780:I780"/>
    <mergeCell ref="M780:N780"/>
    <mergeCell ref="O780:P780"/>
    <mergeCell ref="Q780:U780"/>
    <mergeCell ref="A779:B779"/>
    <mergeCell ref="C779:E779"/>
    <mergeCell ref="F779:I779"/>
    <mergeCell ref="M779:N779"/>
    <mergeCell ref="O779:P779"/>
    <mergeCell ref="Q779:U779"/>
    <mergeCell ref="A778:B778"/>
    <mergeCell ref="C778:E778"/>
    <mergeCell ref="F778:I778"/>
    <mergeCell ref="M778:N778"/>
    <mergeCell ref="O778:P778"/>
    <mergeCell ref="Q778:U778"/>
    <mergeCell ref="A789:B789"/>
    <mergeCell ref="C789:E789"/>
    <mergeCell ref="F789:I789"/>
    <mergeCell ref="M789:N789"/>
    <mergeCell ref="O789:P789"/>
    <mergeCell ref="Q789:U789"/>
    <mergeCell ref="A788:B788"/>
    <mergeCell ref="C788:E788"/>
    <mergeCell ref="F788:I788"/>
    <mergeCell ref="M788:N788"/>
    <mergeCell ref="O788:P788"/>
    <mergeCell ref="Q788:U788"/>
    <mergeCell ref="A787:B787"/>
    <mergeCell ref="C787:E787"/>
    <mergeCell ref="F787:I787"/>
    <mergeCell ref="M787:N787"/>
    <mergeCell ref="O787:P787"/>
    <mergeCell ref="Q787:U787"/>
    <mergeCell ref="A786:B786"/>
    <mergeCell ref="C786:E786"/>
    <mergeCell ref="F786:I786"/>
    <mergeCell ref="M786:N786"/>
    <mergeCell ref="O786:P786"/>
    <mergeCell ref="Q786:U786"/>
    <mergeCell ref="A785:B785"/>
    <mergeCell ref="C785:E785"/>
    <mergeCell ref="F785:I785"/>
    <mergeCell ref="M785:N785"/>
    <mergeCell ref="O785:P785"/>
    <mergeCell ref="Q785:U785"/>
    <mergeCell ref="A784:B784"/>
    <mergeCell ref="C784:E784"/>
    <mergeCell ref="F784:I784"/>
    <mergeCell ref="M784:N784"/>
    <mergeCell ref="O784:P784"/>
    <mergeCell ref="Q784:U784"/>
    <mergeCell ref="A795:B795"/>
    <mergeCell ref="C795:E795"/>
    <mergeCell ref="F795:I795"/>
    <mergeCell ref="M795:N795"/>
    <mergeCell ref="O795:P795"/>
    <mergeCell ref="Q795:U795"/>
    <mergeCell ref="A794:B794"/>
    <mergeCell ref="C794:E794"/>
    <mergeCell ref="F794:I794"/>
    <mergeCell ref="M794:N794"/>
    <mergeCell ref="O794:P794"/>
    <mergeCell ref="Q794:U794"/>
    <mergeCell ref="A793:B793"/>
    <mergeCell ref="C793:E793"/>
    <mergeCell ref="F793:I793"/>
    <mergeCell ref="M793:N793"/>
    <mergeCell ref="O793:P793"/>
    <mergeCell ref="Q793:U793"/>
    <mergeCell ref="A792:B792"/>
    <mergeCell ref="C792:E792"/>
    <mergeCell ref="F792:I792"/>
    <mergeCell ref="M792:N792"/>
    <mergeCell ref="O792:P792"/>
    <mergeCell ref="Q792:U792"/>
    <mergeCell ref="A791:B791"/>
    <mergeCell ref="C791:E791"/>
    <mergeCell ref="F791:I791"/>
    <mergeCell ref="M791:N791"/>
    <mergeCell ref="O791:P791"/>
    <mergeCell ref="Q791:U791"/>
    <mergeCell ref="A790:B790"/>
    <mergeCell ref="C790:E790"/>
    <mergeCell ref="F790:I790"/>
    <mergeCell ref="M790:N790"/>
    <mergeCell ref="O790:P790"/>
    <mergeCell ref="Q790:U790"/>
    <mergeCell ref="A801:B801"/>
    <mergeCell ref="C801:E801"/>
    <mergeCell ref="F801:I801"/>
    <mergeCell ref="M801:N801"/>
    <mergeCell ref="O801:P801"/>
    <mergeCell ref="Q801:U801"/>
    <mergeCell ref="A800:B800"/>
    <mergeCell ref="C800:E800"/>
    <mergeCell ref="F800:I800"/>
    <mergeCell ref="M800:N800"/>
    <mergeCell ref="O800:P800"/>
    <mergeCell ref="Q800:U800"/>
    <mergeCell ref="A799:B799"/>
    <mergeCell ref="C799:E799"/>
    <mergeCell ref="F799:I799"/>
    <mergeCell ref="M799:N799"/>
    <mergeCell ref="O799:P799"/>
    <mergeCell ref="Q799:U799"/>
    <mergeCell ref="A798:B798"/>
    <mergeCell ref="C798:E798"/>
    <mergeCell ref="F798:I798"/>
    <mergeCell ref="M798:N798"/>
    <mergeCell ref="O798:P798"/>
    <mergeCell ref="Q798:U798"/>
    <mergeCell ref="A797:B797"/>
    <mergeCell ref="C797:E797"/>
    <mergeCell ref="F797:I797"/>
    <mergeCell ref="M797:N797"/>
    <mergeCell ref="O797:P797"/>
    <mergeCell ref="Q797:U797"/>
    <mergeCell ref="A796:B796"/>
    <mergeCell ref="C796:E796"/>
    <mergeCell ref="F796:I796"/>
    <mergeCell ref="M796:N796"/>
    <mergeCell ref="O796:P796"/>
    <mergeCell ref="Q796:U796"/>
    <mergeCell ref="A807:B807"/>
    <mergeCell ref="C807:E807"/>
    <mergeCell ref="F807:I807"/>
    <mergeCell ref="M807:N807"/>
    <mergeCell ref="O807:P807"/>
    <mergeCell ref="Q807:U807"/>
    <mergeCell ref="A806:B806"/>
    <mergeCell ref="C806:E806"/>
    <mergeCell ref="F806:I806"/>
    <mergeCell ref="M806:N806"/>
    <mergeCell ref="O806:P806"/>
    <mergeCell ref="Q806:U806"/>
    <mergeCell ref="A805:B805"/>
    <mergeCell ref="C805:E805"/>
    <mergeCell ref="F805:I805"/>
    <mergeCell ref="M805:N805"/>
    <mergeCell ref="O805:P805"/>
    <mergeCell ref="Q805:U805"/>
    <mergeCell ref="A804:B804"/>
    <mergeCell ref="C804:E804"/>
    <mergeCell ref="F804:I804"/>
    <mergeCell ref="M804:N804"/>
    <mergeCell ref="O804:P804"/>
    <mergeCell ref="Q804:U804"/>
    <mergeCell ref="A803:B803"/>
    <mergeCell ref="C803:E803"/>
    <mergeCell ref="F803:I803"/>
    <mergeCell ref="M803:N803"/>
    <mergeCell ref="O803:P803"/>
    <mergeCell ref="Q803:U803"/>
    <mergeCell ref="A802:B802"/>
    <mergeCell ref="C802:E802"/>
    <mergeCell ref="F802:I802"/>
    <mergeCell ref="M802:N802"/>
    <mergeCell ref="O802:P802"/>
    <mergeCell ref="Q802:U802"/>
    <mergeCell ref="B817:G818"/>
    <mergeCell ref="H817:M817"/>
    <mergeCell ref="N817:S818"/>
    <mergeCell ref="T817:W818"/>
    <mergeCell ref="H818:M818"/>
    <mergeCell ref="B819:D819"/>
    <mergeCell ref="E819:Q820"/>
    <mergeCell ref="R819:S820"/>
    <mergeCell ref="T819:U820"/>
    <mergeCell ref="S812:W812"/>
    <mergeCell ref="C813:T813"/>
    <mergeCell ref="A814:F816"/>
    <mergeCell ref="G814:T814"/>
    <mergeCell ref="G815:R815"/>
    <mergeCell ref="G816:Q816"/>
    <mergeCell ref="A810:B810"/>
    <mergeCell ref="C810:E810"/>
    <mergeCell ref="F810:I810"/>
    <mergeCell ref="M810:N810"/>
    <mergeCell ref="O810:P810"/>
    <mergeCell ref="Q810:U810"/>
    <mergeCell ref="A809:B809"/>
    <mergeCell ref="C809:E809"/>
    <mergeCell ref="F809:I809"/>
    <mergeCell ref="M809:N809"/>
    <mergeCell ref="O809:P809"/>
    <mergeCell ref="Q809:U809"/>
    <mergeCell ref="A808:B808"/>
    <mergeCell ref="C808:E808"/>
    <mergeCell ref="F808:I808"/>
    <mergeCell ref="M808:N808"/>
    <mergeCell ref="O808:P808"/>
    <mergeCell ref="Q808:U808"/>
    <mergeCell ref="A827:B827"/>
    <mergeCell ref="C827:E827"/>
    <mergeCell ref="F827:I827"/>
    <mergeCell ref="M827:N827"/>
    <mergeCell ref="O827:P827"/>
    <mergeCell ref="Q827:U827"/>
    <mergeCell ref="A826:B826"/>
    <mergeCell ref="C826:E826"/>
    <mergeCell ref="F826:I826"/>
    <mergeCell ref="M826:N826"/>
    <mergeCell ref="O826:P826"/>
    <mergeCell ref="Q826:U826"/>
    <mergeCell ref="A825:B825"/>
    <mergeCell ref="C825:E825"/>
    <mergeCell ref="F825:I825"/>
    <mergeCell ref="M825:N825"/>
    <mergeCell ref="O825:P825"/>
    <mergeCell ref="Q825:U825"/>
    <mergeCell ref="A824:B824"/>
    <mergeCell ref="C824:E824"/>
    <mergeCell ref="F824:I824"/>
    <mergeCell ref="M824:N824"/>
    <mergeCell ref="O824:P824"/>
    <mergeCell ref="Q824:U824"/>
    <mergeCell ref="A823:B823"/>
    <mergeCell ref="C823:E823"/>
    <mergeCell ref="F823:I823"/>
    <mergeCell ref="M823:N823"/>
    <mergeCell ref="O823:P823"/>
    <mergeCell ref="Q823:U823"/>
    <mergeCell ref="A821:I821"/>
    <mergeCell ref="J821:K821"/>
    <mergeCell ref="L821:N821"/>
    <mergeCell ref="O821:U821"/>
    <mergeCell ref="A822:B822"/>
    <mergeCell ref="C822:E822"/>
    <mergeCell ref="F822:I822"/>
    <mergeCell ref="M822:N822"/>
    <mergeCell ref="O822:P822"/>
    <mergeCell ref="Q822:U822"/>
    <mergeCell ref="A833:B833"/>
    <mergeCell ref="C833:E833"/>
    <mergeCell ref="F833:I833"/>
    <mergeCell ref="M833:N833"/>
    <mergeCell ref="O833:P833"/>
    <mergeCell ref="Q833:U833"/>
    <mergeCell ref="A832:B832"/>
    <mergeCell ref="C832:E832"/>
    <mergeCell ref="F832:I832"/>
    <mergeCell ref="M832:N832"/>
    <mergeCell ref="O832:P832"/>
    <mergeCell ref="Q832:U832"/>
    <mergeCell ref="A831:B831"/>
    <mergeCell ref="C831:E831"/>
    <mergeCell ref="F831:I831"/>
    <mergeCell ref="M831:N831"/>
    <mergeCell ref="O831:P831"/>
    <mergeCell ref="Q831:U831"/>
    <mergeCell ref="A830:B830"/>
    <mergeCell ref="C830:E830"/>
    <mergeCell ref="F830:I830"/>
    <mergeCell ref="M830:N830"/>
    <mergeCell ref="O830:P830"/>
    <mergeCell ref="Q830:U830"/>
    <mergeCell ref="A829:B829"/>
    <mergeCell ref="C829:E829"/>
    <mergeCell ref="F829:I829"/>
    <mergeCell ref="M829:N829"/>
    <mergeCell ref="O829:P829"/>
    <mergeCell ref="Q829:U829"/>
    <mergeCell ref="A828:B828"/>
    <mergeCell ref="C828:E828"/>
    <mergeCell ref="F828:I828"/>
    <mergeCell ref="M828:N828"/>
    <mergeCell ref="O828:P828"/>
    <mergeCell ref="Q828:U828"/>
    <mergeCell ref="A839:B839"/>
    <mergeCell ref="C839:E839"/>
    <mergeCell ref="F839:I839"/>
    <mergeCell ref="M839:N839"/>
    <mergeCell ref="O839:P839"/>
    <mergeCell ref="Q839:U839"/>
    <mergeCell ref="A838:B838"/>
    <mergeCell ref="C838:E838"/>
    <mergeCell ref="F838:I838"/>
    <mergeCell ref="M838:N838"/>
    <mergeCell ref="O838:P838"/>
    <mergeCell ref="Q838:U838"/>
    <mergeCell ref="A837:B837"/>
    <mergeCell ref="C837:E837"/>
    <mergeCell ref="F837:I837"/>
    <mergeCell ref="M837:N837"/>
    <mergeCell ref="O837:P837"/>
    <mergeCell ref="Q837:U837"/>
    <mergeCell ref="A836:B836"/>
    <mergeCell ref="C836:E836"/>
    <mergeCell ref="F836:I836"/>
    <mergeCell ref="M836:N836"/>
    <mergeCell ref="O836:P836"/>
    <mergeCell ref="Q836:U836"/>
    <mergeCell ref="A835:B835"/>
    <mergeCell ref="C835:E835"/>
    <mergeCell ref="F835:I835"/>
    <mergeCell ref="M835:N835"/>
    <mergeCell ref="O835:P835"/>
    <mergeCell ref="Q835:U835"/>
    <mergeCell ref="A834:B834"/>
    <mergeCell ref="C834:E834"/>
    <mergeCell ref="F834:I834"/>
    <mergeCell ref="M834:N834"/>
    <mergeCell ref="O834:P834"/>
    <mergeCell ref="Q834:U834"/>
    <mergeCell ref="A845:B845"/>
    <mergeCell ref="C845:E845"/>
    <mergeCell ref="F845:I845"/>
    <mergeCell ref="M845:N845"/>
    <mergeCell ref="O845:P845"/>
    <mergeCell ref="Q845:U845"/>
    <mergeCell ref="A844:B844"/>
    <mergeCell ref="C844:E844"/>
    <mergeCell ref="F844:I844"/>
    <mergeCell ref="M844:N844"/>
    <mergeCell ref="O844:P844"/>
    <mergeCell ref="Q844:U844"/>
    <mergeCell ref="A843:B843"/>
    <mergeCell ref="C843:E843"/>
    <mergeCell ref="F843:I843"/>
    <mergeCell ref="M843:N843"/>
    <mergeCell ref="O843:P843"/>
    <mergeCell ref="Q843:U843"/>
    <mergeCell ref="A842:B842"/>
    <mergeCell ref="C842:E842"/>
    <mergeCell ref="F842:I842"/>
    <mergeCell ref="M842:N842"/>
    <mergeCell ref="O842:P842"/>
    <mergeCell ref="Q842:U842"/>
    <mergeCell ref="A841:B841"/>
    <mergeCell ref="C841:E841"/>
    <mergeCell ref="F841:I841"/>
    <mergeCell ref="M841:N841"/>
    <mergeCell ref="O841:P841"/>
    <mergeCell ref="Q841:U841"/>
    <mergeCell ref="A840:B840"/>
    <mergeCell ref="C840:E840"/>
    <mergeCell ref="F840:I840"/>
    <mergeCell ref="M840:N840"/>
    <mergeCell ref="O840:P840"/>
    <mergeCell ref="Q840:U840"/>
    <mergeCell ref="A851:B851"/>
    <mergeCell ref="C851:E851"/>
    <mergeCell ref="F851:I851"/>
    <mergeCell ref="M851:N851"/>
    <mergeCell ref="O851:P851"/>
    <mergeCell ref="Q851:U851"/>
    <mergeCell ref="A850:B850"/>
    <mergeCell ref="C850:E850"/>
    <mergeCell ref="F850:I850"/>
    <mergeCell ref="M850:N850"/>
    <mergeCell ref="O850:P850"/>
    <mergeCell ref="Q850:U850"/>
    <mergeCell ref="A849:B849"/>
    <mergeCell ref="C849:E849"/>
    <mergeCell ref="F849:I849"/>
    <mergeCell ref="M849:N849"/>
    <mergeCell ref="O849:P849"/>
    <mergeCell ref="Q849:U849"/>
    <mergeCell ref="A848:B848"/>
    <mergeCell ref="C848:E848"/>
    <mergeCell ref="F848:I848"/>
    <mergeCell ref="M848:N848"/>
    <mergeCell ref="O848:P848"/>
    <mergeCell ref="Q848:U848"/>
    <mergeCell ref="A847:B847"/>
    <mergeCell ref="C847:E847"/>
    <mergeCell ref="F847:I847"/>
    <mergeCell ref="M847:N847"/>
    <mergeCell ref="O847:P847"/>
    <mergeCell ref="Q847:U847"/>
    <mergeCell ref="A846:B846"/>
    <mergeCell ref="C846:E846"/>
    <mergeCell ref="F846:I846"/>
    <mergeCell ref="M846:N846"/>
    <mergeCell ref="O846:P846"/>
    <mergeCell ref="Q846:U846"/>
    <mergeCell ref="A857:B857"/>
    <mergeCell ref="C857:E857"/>
    <mergeCell ref="F857:I857"/>
    <mergeCell ref="M857:N857"/>
    <mergeCell ref="O857:P857"/>
    <mergeCell ref="Q857:U857"/>
    <mergeCell ref="A856:B856"/>
    <mergeCell ref="C856:E856"/>
    <mergeCell ref="F856:I856"/>
    <mergeCell ref="M856:N856"/>
    <mergeCell ref="O856:P856"/>
    <mergeCell ref="Q856:U856"/>
    <mergeCell ref="A855:B855"/>
    <mergeCell ref="C855:E855"/>
    <mergeCell ref="F855:I855"/>
    <mergeCell ref="M855:N855"/>
    <mergeCell ref="O855:P855"/>
    <mergeCell ref="Q855:U855"/>
    <mergeCell ref="A854:B854"/>
    <mergeCell ref="C854:E854"/>
    <mergeCell ref="F854:I854"/>
    <mergeCell ref="M854:N854"/>
    <mergeCell ref="O854:P854"/>
    <mergeCell ref="Q854:U854"/>
    <mergeCell ref="A853:B853"/>
    <mergeCell ref="C853:E853"/>
    <mergeCell ref="F853:I853"/>
    <mergeCell ref="M853:N853"/>
    <mergeCell ref="O853:P853"/>
    <mergeCell ref="Q853:U853"/>
    <mergeCell ref="A852:B852"/>
    <mergeCell ref="C852:E852"/>
    <mergeCell ref="F852:I852"/>
    <mergeCell ref="M852:N852"/>
    <mergeCell ref="O852:P852"/>
    <mergeCell ref="Q852:U852"/>
    <mergeCell ref="S863:W863"/>
    <mergeCell ref="C864:T864"/>
    <mergeCell ref="A865:F867"/>
    <mergeCell ref="G865:T865"/>
    <mergeCell ref="G866:R866"/>
    <mergeCell ref="G867:Q867"/>
    <mergeCell ref="A862:B862"/>
    <mergeCell ref="C862:E862"/>
    <mergeCell ref="F862:I862"/>
    <mergeCell ref="M862:N862"/>
    <mergeCell ref="O862:P862"/>
    <mergeCell ref="Q862:U862"/>
    <mergeCell ref="A861:B861"/>
    <mergeCell ref="C861:E861"/>
    <mergeCell ref="F861:I861"/>
    <mergeCell ref="M861:N861"/>
    <mergeCell ref="O861:P861"/>
    <mergeCell ref="Q861:U861"/>
    <mergeCell ref="A860:B860"/>
    <mergeCell ref="C860:E860"/>
    <mergeCell ref="F860:I860"/>
    <mergeCell ref="M860:N860"/>
    <mergeCell ref="O860:P860"/>
    <mergeCell ref="Q860:U860"/>
    <mergeCell ref="A859:B859"/>
    <mergeCell ref="C859:E859"/>
    <mergeCell ref="F859:I859"/>
    <mergeCell ref="M859:N859"/>
    <mergeCell ref="O859:P859"/>
    <mergeCell ref="Q859:U859"/>
    <mergeCell ref="A858:B858"/>
    <mergeCell ref="C858:E858"/>
    <mergeCell ref="F858:I858"/>
    <mergeCell ref="M858:N858"/>
    <mergeCell ref="O858:P858"/>
    <mergeCell ref="Q858:U858"/>
    <mergeCell ref="A876:B876"/>
    <mergeCell ref="C876:E876"/>
    <mergeCell ref="F876:I876"/>
    <mergeCell ref="M876:N876"/>
    <mergeCell ref="O876:P876"/>
    <mergeCell ref="Q876:U876"/>
    <mergeCell ref="A875:B875"/>
    <mergeCell ref="C875:E875"/>
    <mergeCell ref="F875:I875"/>
    <mergeCell ref="M875:N875"/>
    <mergeCell ref="O875:P875"/>
    <mergeCell ref="Q875:U875"/>
    <mergeCell ref="A874:B874"/>
    <mergeCell ref="C874:E874"/>
    <mergeCell ref="F874:I874"/>
    <mergeCell ref="M874:N874"/>
    <mergeCell ref="O874:P874"/>
    <mergeCell ref="Q874:U874"/>
    <mergeCell ref="A872:I872"/>
    <mergeCell ref="J872:K872"/>
    <mergeCell ref="L872:N872"/>
    <mergeCell ref="O872:U872"/>
    <mergeCell ref="A873:B873"/>
    <mergeCell ref="C873:E873"/>
    <mergeCell ref="F873:I873"/>
    <mergeCell ref="M873:N873"/>
    <mergeCell ref="O873:P873"/>
    <mergeCell ref="Q873:U873"/>
    <mergeCell ref="B868:G869"/>
    <mergeCell ref="H868:M868"/>
    <mergeCell ref="N868:S869"/>
    <mergeCell ref="T868:W869"/>
    <mergeCell ref="H869:M869"/>
    <mergeCell ref="B870:D870"/>
    <mergeCell ref="E870:Q871"/>
    <mergeCell ref="R870:S871"/>
    <mergeCell ref="T870:U871"/>
    <mergeCell ref="A882:B882"/>
    <mergeCell ref="C882:E882"/>
    <mergeCell ref="F882:I882"/>
    <mergeCell ref="M882:N882"/>
    <mergeCell ref="O882:P882"/>
    <mergeCell ref="Q882:U882"/>
    <mergeCell ref="A881:B881"/>
    <mergeCell ref="C881:E881"/>
    <mergeCell ref="F881:I881"/>
    <mergeCell ref="M881:N881"/>
    <mergeCell ref="O881:P881"/>
    <mergeCell ref="Q881:U881"/>
    <mergeCell ref="A880:B880"/>
    <mergeCell ref="C880:E880"/>
    <mergeCell ref="F880:I880"/>
    <mergeCell ref="M880:N880"/>
    <mergeCell ref="O880:P880"/>
    <mergeCell ref="Q880:U880"/>
    <mergeCell ref="A879:B879"/>
    <mergeCell ref="C879:E879"/>
    <mergeCell ref="F879:I879"/>
    <mergeCell ref="M879:N879"/>
    <mergeCell ref="O879:P879"/>
    <mergeCell ref="Q879:U879"/>
    <mergeCell ref="A878:B878"/>
    <mergeCell ref="C878:E878"/>
    <mergeCell ref="F878:I878"/>
    <mergeCell ref="M878:N878"/>
    <mergeCell ref="O878:P878"/>
    <mergeCell ref="Q878:U878"/>
    <mergeCell ref="A877:B877"/>
    <mergeCell ref="C877:E877"/>
    <mergeCell ref="F877:I877"/>
    <mergeCell ref="M877:N877"/>
    <mergeCell ref="O877:P877"/>
    <mergeCell ref="Q877:U877"/>
    <mergeCell ref="A888:B888"/>
    <mergeCell ref="C888:E888"/>
    <mergeCell ref="F888:I888"/>
    <mergeCell ref="M888:N888"/>
    <mergeCell ref="O888:P888"/>
    <mergeCell ref="Q888:U888"/>
    <mergeCell ref="A887:B887"/>
    <mergeCell ref="C887:E887"/>
    <mergeCell ref="F887:I887"/>
    <mergeCell ref="M887:N887"/>
    <mergeCell ref="O887:P887"/>
    <mergeCell ref="Q887:U887"/>
    <mergeCell ref="A886:B886"/>
    <mergeCell ref="C886:E886"/>
    <mergeCell ref="F886:I886"/>
    <mergeCell ref="M886:N886"/>
    <mergeCell ref="O886:P886"/>
    <mergeCell ref="Q886:U886"/>
    <mergeCell ref="A885:B885"/>
    <mergeCell ref="C885:E885"/>
    <mergeCell ref="F885:I885"/>
    <mergeCell ref="M885:N885"/>
    <mergeCell ref="O885:P885"/>
    <mergeCell ref="Q885:U885"/>
    <mergeCell ref="A884:B884"/>
    <mergeCell ref="C884:E884"/>
    <mergeCell ref="F884:I884"/>
    <mergeCell ref="M884:N884"/>
    <mergeCell ref="O884:P884"/>
    <mergeCell ref="Q884:U884"/>
    <mergeCell ref="A883:B883"/>
    <mergeCell ref="C883:E883"/>
    <mergeCell ref="F883:I883"/>
    <mergeCell ref="M883:N883"/>
    <mergeCell ref="O883:P883"/>
    <mergeCell ref="Q883:U883"/>
    <mergeCell ref="A894:B894"/>
    <mergeCell ref="C894:E894"/>
    <mergeCell ref="F894:I894"/>
    <mergeCell ref="M894:N894"/>
    <mergeCell ref="O894:P894"/>
    <mergeCell ref="Q894:U894"/>
    <mergeCell ref="A893:B893"/>
    <mergeCell ref="C893:E893"/>
    <mergeCell ref="F893:I893"/>
    <mergeCell ref="M893:N893"/>
    <mergeCell ref="O893:P893"/>
    <mergeCell ref="Q893:U893"/>
    <mergeCell ref="A892:B892"/>
    <mergeCell ref="C892:E892"/>
    <mergeCell ref="F892:I892"/>
    <mergeCell ref="M892:N892"/>
    <mergeCell ref="O892:P892"/>
    <mergeCell ref="Q892:U892"/>
    <mergeCell ref="A891:B891"/>
    <mergeCell ref="C891:E891"/>
    <mergeCell ref="F891:I891"/>
    <mergeCell ref="M891:N891"/>
    <mergeCell ref="O891:P891"/>
    <mergeCell ref="Q891:U891"/>
    <mergeCell ref="A890:B890"/>
    <mergeCell ref="C890:E890"/>
    <mergeCell ref="F890:I890"/>
    <mergeCell ref="M890:N890"/>
    <mergeCell ref="O890:P890"/>
    <mergeCell ref="Q890:U890"/>
    <mergeCell ref="A889:B889"/>
    <mergeCell ref="C889:E889"/>
    <mergeCell ref="F889:I889"/>
    <mergeCell ref="M889:N889"/>
    <mergeCell ref="O889:P889"/>
    <mergeCell ref="Q889:U889"/>
    <mergeCell ref="A900:B900"/>
    <mergeCell ref="C900:E900"/>
    <mergeCell ref="F900:I900"/>
    <mergeCell ref="M900:N900"/>
    <mergeCell ref="O900:P900"/>
    <mergeCell ref="Q900:U900"/>
    <mergeCell ref="A899:B899"/>
    <mergeCell ref="C899:E899"/>
    <mergeCell ref="F899:I899"/>
    <mergeCell ref="M899:N899"/>
    <mergeCell ref="O899:P899"/>
    <mergeCell ref="Q899:U899"/>
    <mergeCell ref="A898:B898"/>
    <mergeCell ref="C898:E898"/>
    <mergeCell ref="F898:I898"/>
    <mergeCell ref="M898:N898"/>
    <mergeCell ref="O898:P898"/>
    <mergeCell ref="Q898:U898"/>
    <mergeCell ref="A897:B897"/>
    <mergeCell ref="C897:E897"/>
    <mergeCell ref="F897:I897"/>
    <mergeCell ref="M897:N897"/>
    <mergeCell ref="O897:P897"/>
    <mergeCell ref="Q897:U897"/>
    <mergeCell ref="A896:B896"/>
    <mergeCell ref="C896:E896"/>
    <mergeCell ref="F896:I896"/>
    <mergeCell ref="M896:N896"/>
    <mergeCell ref="O896:P896"/>
    <mergeCell ref="Q896:U896"/>
    <mergeCell ref="A895:B895"/>
    <mergeCell ref="C895:E895"/>
    <mergeCell ref="F895:I895"/>
    <mergeCell ref="M895:N895"/>
    <mergeCell ref="O895:P895"/>
    <mergeCell ref="Q895:U895"/>
    <mergeCell ref="A906:B906"/>
    <mergeCell ref="C906:E906"/>
    <mergeCell ref="F906:I906"/>
    <mergeCell ref="M906:N906"/>
    <mergeCell ref="O906:P906"/>
    <mergeCell ref="Q906:U906"/>
    <mergeCell ref="A905:B905"/>
    <mergeCell ref="C905:E905"/>
    <mergeCell ref="F905:I905"/>
    <mergeCell ref="M905:N905"/>
    <mergeCell ref="O905:P905"/>
    <mergeCell ref="Q905:U905"/>
    <mergeCell ref="A904:B904"/>
    <mergeCell ref="C904:E904"/>
    <mergeCell ref="F904:I904"/>
    <mergeCell ref="M904:N904"/>
    <mergeCell ref="O904:P904"/>
    <mergeCell ref="Q904:U904"/>
    <mergeCell ref="A903:B903"/>
    <mergeCell ref="C903:E903"/>
    <mergeCell ref="F903:I903"/>
    <mergeCell ref="M903:N903"/>
    <mergeCell ref="O903:P903"/>
    <mergeCell ref="Q903:U903"/>
    <mergeCell ref="A902:B902"/>
    <mergeCell ref="C902:E902"/>
    <mergeCell ref="F902:I902"/>
    <mergeCell ref="M902:N902"/>
    <mergeCell ref="O902:P902"/>
    <mergeCell ref="Q902:U902"/>
    <mergeCell ref="A901:B901"/>
    <mergeCell ref="C901:E901"/>
    <mergeCell ref="F901:I901"/>
    <mergeCell ref="M901:N901"/>
    <mergeCell ref="O901:P901"/>
    <mergeCell ref="Q901:U901"/>
    <mergeCell ref="B916:G917"/>
    <mergeCell ref="H916:M916"/>
    <mergeCell ref="N916:S917"/>
    <mergeCell ref="T916:W917"/>
    <mergeCell ref="H917:M917"/>
    <mergeCell ref="B918:D918"/>
    <mergeCell ref="E918:Q919"/>
    <mergeCell ref="R918:S919"/>
    <mergeCell ref="T918:U919"/>
    <mergeCell ref="S911:W911"/>
    <mergeCell ref="C912:T912"/>
    <mergeCell ref="A913:F915"/>
    <mergeCell ref="G913:T913"/>
    <mergeCell ref="G914:R914"/>
    <mergeCell ref="G915:Q915"/>
    <mergeCell ref="A909:B909"/>
    <mergeCell ref="C909:E909"/>
    <mergeCell ref="F909:I909"/>
    <mergeCell ref="M909:N909"/>
    <mergeCell ref="O909:P909"/>
    <mergeCell ref="Q909:U909"/>
    <mergeCell ref="A908:B908"/>
    <mergeCell ref="C908:E908"/>
    <mergeCell ref="F908:I908"/>
    <mergeCell ref="M908:N908"/>
    <mergeCell ref="O908:P908"/>
    <mergeCell ref="Q908:U908"/>
    <mergeCell ref="A907:B907"/>
    <mergeCell ref="C907:E907"/>
    <mergeCell ref="F907:I907"/>
    <mergeCell ref="M907:N907"/>
    <mergeCell ref="O907:P907"/>
    <mergeCell ref="Q907:U907"/>
    <mergeCell ref="A926:B926"/>
    <mergeCell ref="C926:E926"/>
    <mergeCell ref="F926:I926"/>
    <mergeCell ref="M926:N926"/>
    <mergeCell ref="O926:P926"/>
    <mergeCell ref="Q926:U926"/>
    <mergeCell ref="A925:B925"/>
    <mergeCell ref="C925:E925"/>
    <mergeCell ref="F925:I925"/>
    <mergeCell ref="M925:N925"/>
    <mergeCell ref="O925:P925"/>
    <mergeCell ref="Q925:U925"/>
    <mergeCell ref="A924:B924"/>
    <mergeCell ref="C924:E924"/>
    <mergeCell ref="F924:I924"/>
    <mergeCell ref="M924:N924"/>
    <mergeCell ref="O924:P924"/>
    <mergeCell ref="Q924:U924"/>
    <mergeCell ref="A923:B923"/>
    <mergeCell ref="C923:E923"/>
    <mergeCell ref="F923:I923"/>
    <mergeCell ref="M923:N923"/>
    <mergeCell ref="O923:P923"/>
    <mergeCell ref="Q923:U923"/>
    <mergeCell ref="A922:B922"/>
    <mergeCell ref="C922:E922"/>
    <mergeCell ref="F922:I922"/>
    <mergeCell ref="M922:N922"/>
    <mergeCell ref="O922:P922"/>
    <mergeCell ref="Q922:U922"/>
    <mergeCell ref="A920:I920"/>
    <mergeCell ref="J920:K920"/>
    <mergeCell ref="L920:N920"/>
    <mergeCell ref="O920:U920"/>
    <mergeCell ref="A921:B921"/>
    <mergeCell ref="C921:E921"/>
    <mergeCell ref="F921:I921"/>
    <mergeCell ref="M921:N921"/>
    <mergeCell ref="O921:P921"/>
    <mergeCell ref="Q921:U921"/>
    <mergeCell ref="A932:B932"/>
    <mergeCell ref="C932:E932"/>
    <mergeCell ref="F932:I932"/>
    <mergeCell ref="M932:N932"/>
    <mergeCell ref="O932:P932"/>
    <mergeCell ref="Q932:U932"/>
    <mergeCell ref="A931:B931"/>
    <mergeCell ref="C931:E931"/>
    <mergeCell ref="F931:I931"/>
    <mergeCell ref="M931:N931"/>
    <mergeCell ref="O931:P931"/>
    <mergeCell ref="Q931:U931"/>
    <mergeCell ref="A930:B930"/>
    <mergeCell ref="C930:E930"/>
    <mergeCell ref="F930:I930"/>
    <mergeCell ref="M930:N930"/>
    <mergeCell ref="O930:P930"/>
    <mergeCell ref="Q930:U930"/>
    <mergeCell ref="A929:B929"/>
    <mergeCell ref="C929:E929"/>
    <mergeCell ref="F929:I929"/>
    <mergeCell ref="M929:N929"/>
    <mergeCell ref="O929:P929"/>
    <mergeCell ref="Q929:U929"/>
    <mergeCell ref="A928:B928"/>
    <mergeCell ref="C928:E928"/>
    <mergeCell ref="F928:I928"/>
    <mergeCell ref="M928:N928"/>
    <mergeCell ref="O928:P928"/>
    <mergeCell ref="Q928:U928"/>
    <mergeCell ref="A927:B927"/>
    <mergeCell ref="C927:E927"/>
    <mergeCell ref="F927:I927"/>
    <mergeCell ref="M927:N927"/>
    <mergeCell ref="O927:P927"/>
    <mergeCell ref="Q927:U927"/>
    <mergeCell ref="A938:B938"/>
    <mergeCell ref="C938:E938"/>
    <mergeCell ref="F938:I938"/>
    <mergeCell ref="M938:N938"/>
    <mergeCell ref="O938:P938"/>
    <mergeCell ref="Q938:U938"/>
    <mergeCell ref="A937:B937"/>
    <mergeCell ref="C937:E937"/>
    <mergeCell ref="F937:I937"/>
    <mergeCell ref="M937:N937"/>
    <mergeCell ref="O937:P937"/>
    <mergeCell ref="Q937:U937"/>
    <mergeCell ref="A936:B936"/>
    <mergeCell ref="C936:E936"/>
    <mergeCell ref="F936:I936"/>
    <mergeCell ref="M936:N936"/>
    <mergeCell ref="O936:P936"/>
    <mergeCell ref="Q936:U936"/>
    <mergeCell ref="A935:B935"/>
    <mergeCell ref="C935:E935"/>
    <mergeCell ref="F935:I935"/>
    <mergeCell ref="M935:N935"/>
    <mergeCell ref="O935:P935"/>
    <mergeCell ref="Q935:U935"/>
    <mergeCell ref="A934:B934"/>
    <mergeCell ref="C934:E934"/>
    <mergeCell ref="F934:I934"/>
    <mergeCell ref="M934:N934"/>
    <mergeCell ref="O934:P934"/>
    <mergeCell ref="Q934:U934"/>
    <mergeCell ref="A933:B933"/>
    <mergeCell ref="C933:E933"/>
    <mergeCell ref="F933:I933"/>
    <mergeCell ref="M933:N933"/>
    <mergeCell ref="O933:P933"/>
    <mergeCell ref="Q933:U933"/>
    <mergeCell ref="A944:B944"/>
    <mergeCell ref="C944:E944"/>
    <mergeCell ref="F944:I944"/>
    <mergeCell ref="M944:N944"/>
    <mergeCell ref="O944:P944"/>
    <mergeCell ref="Q944:U944"/>
    <mergeCell ref="A943:B943"/>
    <mergeCell ref="C943:E943"/>
    <mergeCell ref="F943:I943"/>
    <mergeCell ref="M943:N943"/>
    <mergeCell ref="O943:P943"/>
    <mergeCell ref="Q943:U943"/>
    <mergeCell ref="A942:B942"/>
    <mergeCell ref="C942:E942"/>
    <mergeCell ref="F942:I942"/>
    <mergeCell ref="M942:N942"/>
    <mergeCell ref="O942:P942"/>
    <mergeCell ref="Q942:U942"/>
    <mergeCell ref="A941:B941"/>
    <mergeCell ref="C941:E941"/>
    <mergeCell ref="F941:I941"/>
    <mergeCell ref="M941:N941"/>
    <mergeCell ref="O941:P941"/>
    <mergeCell ref="Q941:U941"/>
    <mergeCell ref="A940:B940"/>
    <mergeCell ref="C940:E940"/>
    <mergeCell ref="F940:I940"/>
    <mergeCell ref="M940:N940"/>
    <mergeCell ref="O940:P940"/>
    <mergeCell ref="Q940:U940"/>
    <mergeCell ref="A939:B939"/>
    <mergeCell ref="C939:E939"/>
    <mergeCell ref="F939:I939"/>
    <mergeCell ref="M939:N939"/>
    <mergeCell ref="O939:P939"/>
    <mergeCell ref="Q939:U939"/>
    <mergeCell ref="A950:B950"/>
    <mergeCell ref="C950:E950"/>
    <mergeCell ref="F950:I950"/>
    <mergeCell ref="M950:N950"/>
    <mergeCell ref="O950:P950"/>
    <mergeCell ref="Q950:U950"/>
    <mergeCell ref="A949:B949"/>
    <mergeCell ref="C949:E949"/>
    <mergeCell ref="F949:I949"/>
    <mergeCell ref="M949:N949"/>
    <mergeCell ref="O949:P949"/>
    <mergeCell ref="Q949:U949"/>
    <mergeCell ref="A948:B948"/>
    <mergeCell ref="C948:E948"/>
    <mergeCell ref="F948:I948"/>
    <mergeCell ref="M948:N948"/>
    <mergeCell ref="O948:P948"/>
    <mergeCell ref="Q948:U948"/>
    <mergeCell ref="A947:B947"/>
    <mergeCell ref="C947:E947"/>
    <mergeCell ref="F947:I947"/>
    <mergeCell ref="M947:N947"/>
    <mergeCell ref="O947:P947"/>
    <mergeCell ref="Q947:U947"/>
    <mergeCell ref="A946:B946"/>
    <mergeCell ref="C946:E946"/>
    <mergeCell ref="F946:I946"/>
    <mergeCell ref="M946:N946"/>
    <mergeCell ref="O946:P946"/>
    <mergeCell ref="Q946:U946"/>
    <mergeCell ref="A945:B945"/>
    <mergeCell ref="C945:E945"/>
    <mergeCell ref="F945:I945"/>
    <mergeCell ref="M945:N945"/>
    <mergeCell ref="O945:P945"/>
    <mergeCell ref="Q945:U945"/>
    <mergeCell ref="A956:B956"/>
    <mergeCell ref="C956:E956"/>
    <mergeCell ref="F956:I956"/>
    <mergeCell ref="M956:N956"/>
    <mergeCell ref="O956:P956"/>
    <mergeCell ref="Q956:U956"/>
    <mergeCell ref="A955:B955"/>
    <mergeCell ref="C955:E955"/>
    <mergeCell ref="F955:I955"/>
    <mergeCell ref="M955:N955"/>
    <mergeCell ref="O955:P955"/>
    <mergeCell ref="Q955:U955"/>
    <mergeCell ref="A954:B954"/>
    <mergeCell ref="C954:E954"/>
    <mergeCell ref="F954:I954"/>
    <mergeCell ref="M954:N954"/>
    <mergeCell ref="O954:P954"/>
    <mergeCell ref="Q954:U954"/>
    <mergeCell ref="A953:B953"/>
    <mergeCell ref="C953:E953"/>
    <mergeCell ref="F953:I953"/>
    <mergeCell ref="M953:N953"/>
    <mergeCell ref="O953:P953"/>
    <mergeCell ref="Q953:U953"/>
    <mergeCell ref="A952:B952"/>
    <mergeCell ref="C952:E952"/>
    <mergeCell ref="F952:I952"/>
    <mergeCell ref="M952:N952"/>
    <mergeCell ref="O952:P952"/>
    <mergeCell ref="Q952:U952"/>
    <mergeCell ref="A951:B951"/>
    <mergeCell ref="C951:E951"/>
    <mergeCell ref="F951:I951"/>
    <mergeCell ref="M951:N951"/>
    <mergeCell ref="O951:P951"/>
    <mergeCell ref="Q951:U951"/>
    <mergeCell ref="B965:G966"/>
    <mergeCell ref="H965:M965"/>
    <mergeCell ref="N965:S966"/>
    <mergeCell ref="T965:W966"/>
    <mergeCell ref="H966:M966"/>
    <mergeCell ref="B967:D967"/>
    <mergeCell ref="E967:Q968"/>
    <mergeCell ref="R967:S968"/>
    <mergeCell ref="T967:U968"/>
    <mergeCell ref="S960:W960"/>
    <mergeCell ref="C961:T961"/>
    <mergeCell ref="A962:F964"/>
    <mergeCell ref="G962:T962"/>
    <mergeCell ref="G963:R963"/>
    <mergeCell ref="G964:Q964"/>
    <mergeCell ref="A959:B959"/>
    <mergeCell ref="C959:E959"/>
    <mergeCell ref="F959:I959"/>
    <mergeCell ref="M959:N959"/>
    <mergeCell ref="O959:P959"/>
    <mergeCell ref="Q959:U959"/>
    <mergeCell ref="A958:B958"/>
    <mergeCell ref="C958:E958"/>
    <mergeCell ref="F958:I958"/>
    <mergeCell ref="M958:N958"/>
    <mergeCell ref="O958:P958"/>
    <mergeCell ref="Q958:U958"/>
    <mergeCell ref="A957:B957"/>
    <mergeCell ref="C957:E957"/>
    <mergeCell ref="F957:I957"/>
    <mergeCell ref="M957:N957"/>
    <mergeCell ref="O957:P957"/>
    <mergeCell ref="Q957:U957"/>
    <mergeCell ref="A975:B975"/>
    <mergeCell ref="C975:E975"/>
    <mergeCell ref="F975:I975"/>
    <mergeCell ref="M975:N975"/>
    <mergeCell ref="O975:P975"/>
    <mergeCell ref="Q975:U975"/>
    <mergeCell ref="A974:B974"/>
    <mergeCell ref="C974:E974"/>
    <mergeCell ref="F974:I974"/>
    <mergeCell ref="M974:N974"/>
    <mergeCell ref="O974:P974"/>
    <mergeCell ref="Q974:U974"/>
    <mergeCell ref="A973:B973"/>
    <mergeCell ref="C973:E973"/>
    <mergeCell ref="F973:I973"/>
    <mergeCell ref="M973:N973"/>
    <mergeCell ref="O973:P973"/>
    <mergeCell ref="Q973:U973"/>
    <mergeCell ref="A972:B972"/>
    <mergeCell ref="C972:E972"/>
    <mergeCell ref="F972:I972"/>
    <mergeCell ref="M972:N972"/>
    <mergeCell ref="O972:P972"/>
    <mergeCell ref="Q972:U972"/>
    <mergeCell ref="A971:B971"/>
    <mergeCell ref="C971:E971"/>
    <mergeCell ref="F971:I971"/>
    <mergeCell ref="M971:N971"/>
    <mergeCell ref="O971:P971"/>
    <mergeCell ref="Q971:U971"/>
    <mergeCell ref="A969:I969"/>
    <mergeCell ref="J969:K969"/>
    <mergeCell ref="L969:N969"/>
    <mergeCell ref="O969:U969"/>
    <mergeCell ref="A970:B970"/>
    <mergeCell ref="C970:E970"/>
    <mergeCell ref="F970:I970"/>
    <mergeCell ref="M970:N970"/>
    <mergeCell ref="O970:P970"/>
    <mergeCell ref="Q970:U970"/>
    <mergeCell ref="A981:B981"/>
    <mergeCell ref="C981:E981"/>
    <mergeCell ref="F981:I981"/>
    <mergeCell ref="M981:N981"/>
    <mergeCell ref="O981:P981"/>
    <mergeCell ref="Q981:U981"/>
    <mergeCell ref="A980:B980"/>
    <mergeCell ref="C980:E980"/>
    <mergeCell ref="F980:I980"/>
    <mergeCell ref="M980:N980"/>
    <mergeCell ref="O980:P980"/>
    <mergeCell ref="Q980:U980"/>
    <mergeCell ref="A979:B979"/>
    <mergeCell ref="C979:E979"/>
    <mergeCell ref="F979:I979"/>
    <mergeCell ref="M979:N979"/>
    <mergeCell ref="O979:P979"/>
    <mergeCell ref="Q979:U979"/>
    <mergeCell ref="A978:B978"/>
    <mergeCell ref="C978:E978"/>
    <mergeCell ref="F978:I978"/>
    <mergeCell ref="M978:N978"/>
    <mergeCell ref="O978:P978"/>
    <mergeCell ref="Q978:U978"/>
    <mergeCell ref="A977:B977"/>
    <mergeCell ref="C977:E977"/>
    <mergeCell ref="F977:I977"/>
    <mergeCell ref="M977:N977"/>
    <mergeCell ref="O977:P977"/>
    <mergeCell ref="Q977:U977"/>
    <mergeCell ref="A976:B976"/>
    <mergeCell ref="C976:E976"/>
    <mergeCell ref="F976:I976"/>
    <mergeCell ref="M976:N976"/>
    <mergeCell ref="O976:P976"/>
    <mergeCell ref="Q976:U976"/>
    <mergeCell ref="A987:B987"/>
    <mergeCell ref="C987:E987"/>
    <mergeCell ref="F987:I987"/>
    <mergeCell ref="M987:N987"/>
    <mergeCell ref="O987:P987"/>
    <mergeCell ref="Q987:U987"/>
    <mergeCell ref="A986:B986"/>
    <mergeCell ref="C986:E986"/>
    <mergeCell ref="F986:I986"/>
    <mergeCell ref="M986:N986"/>
    <mergeCell ref="O986:P986"/>
    <mergeCell ref="Q986:U986"/>
    <mergeCell ref="A985:B985"/>
    <mergeCell ref="C985:E985"/>
    <mergeCell ref="F985:I985"/>
    <mergeCell ref="M985:N985"/>
    <mergeCell ref="O985:P985"/>
    <mergeCell ref="Q985:U985"/>
    <mergeCell ref="A984:B984"/>
    <mergeCell ref="C984:E984"/>
    <mergeCell ref="F984:I984"/>
    <mergeCell ref="M984:N984"/>
    <mergeCell ref="O984:P984"/>
    <mergeCell ref="Q984:U984"/>
    <mergeCell ref="A983:B983"/>
    <mergeCell ref="C983:E983"/>
    <mergeCell ref="F983:I983"/>
    <mergeCell ref="M983:N983"/>
    <mergeCell ref="O983:P983"/>
    <mergeCell ref="Q983:U983"/>
    <mergeCell ref="A982:B982"/>
    <mergeCell ref="C982:E982"/>
    <mergeCell ref="F982:I982"/>
    <mergeCell ref="M982:N982"/>
    <mergeCell ref="O982:P982"/>
    <mergeCell ref="Q982:U982"/>
    <mergeCell ref="A993:B993"/>
    <mergeCell ref="C993:E993"/>
    <mergeCell ref="F993:I993"/>
    <mergeCell ref="M993:N993"/>
    <mergeCell ref="O993:P993"/>
    <mergeCell ref="Q993:U993"/>
    <mergeCell ref="A992:B992"/>
    <mergeCell ref="C992:E992"/>
    <mergeCell ref="F992:I992"/>
    <mergeCell ref="M992:N992"/>
    <mergeCell ref="O992:P992"/>
    <mergeCell ref="Q992:U992"/>
    <mergeCell ref="A991:B991"/>
    <mergeCell ref="C991:E991"/>
    <mergeCell ref="F991:I991"/>
    <mergeCell ref="M991:N991"/>
    <mergeCell ref="O991:P991"/>
    <mergeCell ref="Q991:U991"/>
    <mergeCell ref="A990:B990"/>
    <mergeCell ref="C990:E990"/>
    <mergeCell ref="F990:I990"/>
    <mergeCell ref="M990:N990"/>
    <mergeCell ref="O990:P990"/>
    <mergeCell ref="Q990:U990"/>
    <mergeCell ref="A989:B989"/>
    <mergeCell ref="C989:E989"/>
    <mergeCell ref="F989:I989"/>
    <mergeCell ref="M989:N989"/>
    <mergeCell ref="O989:P989"/>
    <mergeCell ref="Q989:U989"/>
    <mergeCell ref="A988:B988"/>
    <mergeCell ref="C988:E988"/>
    <mergeCell ref="F988:I988"/>
    <mergeCell ref="M988:N988"/>
    <mergeCell ref="O988:P988"/>
    <mergeCell ref="Q988:U988"/>
    <mergeCell ref="A999:B999"/>
    <mergeCell ref="C999:E999"/>
    <mergeCell ref="F999:I999"/>
    <mergeCell ref="M999:N999"/>
    <mergeCell ref="O999:P999"/>
    <mergeCell ref="Q999:U999"/>
    <mergeCell ref="A998:B998"/>
    <mergeCell ref="C998:E998"/>
    <mergeCell ref="F998:I998"/>
    <mergeCell ref="M998:N998"/>
    <mergeCell ref="O998:P998"/>
    <mergeCell ref="Q998:U998"/>
    <mergeCell ref="A997:B997"/>
    <mergeCell ref="C997:E997"/>
    <mergeCell ref="F997:I997"/>
    <mergeCell ref="M997:N997"/>
    <mergeCell ref="O997:P997"/>
    <mergeCell ref="Q997:U997"/>
    <mergeCell ref="A996:B996"/>
    <mergeCell ref="C996:E996"/>
    <mergeCell ref="F996:I996"/>
    <mergeCell ref="M996:N996"/>
    <mergeCell ref="O996:P996"/>
    <mergeCell ref="Q996:U996"/>
    <mergeCell ref="A995:B995"/>
    <mergeCell ref="C995:E995"/>
    <mergeCell ref="F995:I995"/>
    <mergeCell ref="M995:N995"/>
    <mergeCell ref="O995:P995"/>
    <mergeCell ref="Q995:U995"/>
    <mergeCell ref="A994:B994"/>
    <mergeCell ref="C994:E994"/>
    <mergeCell ref="F994:I994"/>
    <mergeCell ref="M994:N994"/>
    <mergeCell ref="O994:P994"/>
    <mergeCell ref="Q994:U994"/>
    <mergeCell ref="A1005:B1005"/>
    <mergeCell ref="C1005:E1005"/>
    <mergeCell ref="F1005:I1005"/>
    <mergeCell ref="M1005:N1005"/>
    <mergeCell ref="O1005:P1005"/>
    <mergeCell ref="Q1005:U1005"/>
    <mergeCell ref="A1004:B1004"/>
    <mergeCell ref="C1004:E1004"/>
    <mergeCell ref="F1004:I1004"/>
    <mergeCell ref="M1004:N1004"/>
    <mergeCell ref="O1004:P1004"/>
    <mergeCell ref="Q1004:U1004"/>
    <mergeCell ref="A1003:B1003"/>
    <mergeCell ref="C1003:E1003"/>
    <mergeCell ref="F1003:I1003"/>
    <mergeCell ref="M1003:N1003"/>
    <mergeCell ref="O1003:P1003"/>
    <mergeCell ref="Q1003:U1003"/>
    <mergeCell ref="A1002:B1002"/>
    <mergeCell ref="C1002:E1002"/>
    <mergeCell ref="F1002:I1002"/>
    <mergeCell ref="M1002:N1002"/>
    <mergeCell ref="O1002:P1002"/>
    <mergeCell ref="Q1002:U1002"/>
    <mergeCell ref="A1001:B1001"/>
    <mergeCell ref="C1001:E1001"/>
    <mergeCell ref="F1001:I1001"/>
    <mergeCell ref="M1001:N1001"/>
    <mergeCell ref="O1001:P1001"/>
    <mergeCell ref="Q1001:U1001"/>
    <mergeCell ref="A1000:B1000"/>
    <mergeCell ref="C1000:E1000"/>
    <mergeCell ref="F1000:I1000"/>
    <mergeCell ref="M1000:N1000"/>
    <mergeCell ref="O1000:P1000"/>
    <mergeCell ref="Q1000:U1000"/>
    <mergeCell ref="B1014:G1015"/>
    <mergeCell ref="H1014:M1014"/>
    <mergeCell ref="N1014:S1015"/>
    <mergeCell ref="T1014:W1015"/>
    <mergeCell ref="H1015:M1015"/>
    <mergeCell ref="B1016:D1016"/>
    <mergeCell ref="E1016:Q1017"/>
    <mergeCell ref="R1016:S1017"/>
    <mergeCell ref="T1016:U1017"/>
    <mergeCell ref="S1009:W1009"/>
    <mergeCell ref="C1010:T1010"/>
    <mergeCell ref="A1011:F1013"/>
    <mergeCell ref="G1011:T1011"/>
    <mergeCell ref="G1012:R1012"/>
    <mergeCell ref="G1013:Q1013"/>
    <mergeCell ref="A1008:B1008"/>
    <mergeCell ref="C1008:E1008"/>
    <mergeCell ref="F1008:I1008"/>
    <mergeCell ref="M1008:N1008"/>
    <mergeCell ref="O1008:P1008"/>
    <mergeCell ref="Q1008:U1008"/>
    <mergeCell ref="A1007:B1007"/>
    <mergeCell ref="C1007:E1007"/>
    <mergeCell ref="F1007:I1007"/>
    <mergeCell ref="M1007:N1007"/>
    <mergeCell ref="O1007:P1007"/>
    <mergeCell ref="Q1007:U1007"/>
    <mergeCell ref="A1006:B1006"/>
    <mergeCell ref="C1006:E1006"/>
    <mergeCell ref="F1006:I1006"/>
    <mergeCell ref="M1006:N1006"/>
    <mergeCell ref="O1006:P1006"/>
    <mergeCell ref="Q1006:U1006"/>
    <mergeCell ref="A1024:B1024"/>
    <mergeCell ref="C1024:E1024"/>
    <mergeCell ref="F1024:I1024"/>
    <mergeCell ref="M1024:N1024"/>
    <mergeCell ref="O1024:P1024"/>
    <mergeCell ref="Q1024:U1024"/>
    <mergeCell ref="A1023:B1023"/>
    <mergeCell ref="C1023:E1023"/>
    <mergeCell ref="F1023:I1023"/>
    <mergeCell ref="M1023:N1023"/>
    <mergeCell ref="O1023:P1023"/>
    <mergeCell ref="Q1023:U1023"/>
    <mergeCell ref="A1022:B1022"/>
    <mergeCell ref="C1022:E1022"/>
    <mergeCell ref="F1022:I1022"/>
    <mergeCell ref="M1022:N1022"/>
    <mergeCell ref="O1022:P1022"/>
    <mergeCell ref="Q1022:U1022"/>
    <mergeCell ref="A1021:B1021"/>
    <mergeCell ref="C1021:E1021"/>
    <mergeCell ref="F1021:I1021"/>
    <mergeCell ref="M1021:N1021"/>
    <mergeCell ref="O1021:P1021"/>
    <mergeCell ref="Q1021:U1021"/>
    <mergeCell ref="A1020:B1020"/>
    <mergeCell ref="C1020:E1020"/>
    <mergeCell ref="F1020:I1020"/>
    <mergeCell ref="M1020:N1020"/>
    <mergeCell ref="O1020:P1020"/>
    <mergeCell ref="Q1020:U1020"/>
    <mergeCell ref="A1018:I1018"/>
    <mergeCell ref="J1018:K1018"/>
    <mergeCell ref="L1018:N1018"/>
    <mergeCell ref="O1018:U1018"/>
    <mergeCell ref="A1019:B1019"/>
    <mergeCell ref="C1019:E1019"/>
    <mergeCell ref="F1019:I1019"/>
    <mergeCell ref="M1019:N1019"/>
    <mergeCell ref="O1019:P1019"/>
    <mergeCell ref="Q1019:U1019"/>
    <mergeCell ref="A1030:B1030"/>
    <mergeCell ref="C1030:E1030"/>
    <mergeCell ref="F1030:I1030"/>
    <mergeCell ref="M1030:N1030"/>
    <mergeCell ref="O1030:P1030"/>
    <mergeCell ref="Q1030:U1030"/>
    <mergeCell ref="A1029:B1029"/>
    <mergeCell ref="C1029:E1029"/>
    <mergeCell ref="F1029:I1029"/>
    <mergeCell ref="M1029:N1029"/>
    <mergeCell ref="O1029:P1029"/>
    <mergeCell ref="Q1029:U1029"/>
    <mergeCell ref="A1028:B1028"/>
    <mergeCell ref="C1028:E1028"/>
    <mergeCell ref="F1028:I1028"/>
    <mergeCell ref="M1028:N1028"/>
    <mergeCell ref="O1028:P1028"/>
    <mergeCell ref="Q1028:U1028"/>
    <mergeCell ref="A1027:B1027"/>
    <mergeCell ref="C1027:E1027"/>
    <mergeCell ref="F1027:I1027"/>
    <mergeCell ref="M1027:N1027"/>
    <mergeCell ref="O1027:P1027"/>
    <mergeCell ref="Q1027:U1027"/>
    <mergeCell ref="A1026:B1026"/>
    <mergeCell ref="C1026:E1026"/>
    <mergeCell ref="F1026:I1026"/>
    <mergeCell ref="M1026:N1026"/>
    <mergeCell ref="O1026:P1026"/>
    <mergeCell ref="Q1026:U1026"/>
    <mergeCell ref="A1025:B1025"/>
    <mergeCell ref="C1025:E1025"/>
    <mergeCell ref="F1025:I1025"/>
    <mergeCell ref="M1025:N1025"/>
    <mergeCell ref="O1025:P1025"/>
    <mergeCell ref="Q1025:U1025"/>
    <mergeCell ref="A1036:B1036"/>
    <mergeCell ref="C1036:E1036"/>
    <mergeCell ref="F1036:I1036"/>
    <mergeCell ref="M1036:N1036"/>
    <mergeCell ref="O1036:P1036"/>
    <mergeCell ref="Q1036:U1036"/>
    <mergeCell ref="A1035:B1035"/>
    <mergeCell ref="C1035:E1035"/>
    <mergeCell ref="F1035:I1035"/>
    <mergeCell ref="M1035:N1035"/>
    <mergeCell ref="O1035:P1035"/>
    <mergeCell ref="Q1035:U1035"/>
    <mergeCell ref="A1034:B1034"/>
    <mergeCell ref="C1034:E1034"/>
    <mergeCell ref="F1034:I1034"/>
    <mergeCell ref="M1034:N1034"/>
    <mergeCell ref="O1034:P1034"/>
    <mergeCell ref="Q1034:U1034"/>
    <mergeCell ref="A1033:B1033"/>
    <mergeCell ref="C1033:E1033"/>
    <mergeCell ref="F1033:I1033"/>
    <mergeCell ref="M1033:N1033"/>
    <mergeCell ref="O1033:P1033"/>
    <mergeCell ref="Q1033:U1033"/>
    <mergeCell ref="A1032:B1032"/>
    <mergeCell ref="C1032:E1032"/>
    <mergeCell ref="F1032:I1032"/>
    <mergeCell ref="M1032:N1032"/>
    <mergeCell ref="O1032:P1032"/>
    <mergeCell ref="Q1032:U1032"/>
    <mergeCell ref="A1031:B1031"/>
    <mergeCell ref="C1031:E1031"/>
    <mergeCell ref="F1031:I1031"/>
    <mergeCell ref="M1031:N1031"/>
    <mergeCell ref="O1031:P1031"/>
    <mergeCell ref="Q1031:U1031"/>
    <mergeCell ref="A1042:B1042"/>
    <mergeCell ref="C1042:E1042"/>
    <mergeCell ref="F1042:I1042"/>
    <mergeCell ref="M1042:N1042"/>
    <mergeCell ref="O1042:P1042"/>
    <mergeCell ref="Q1042:U1042"/>
    <mergeCell ref="A1041:B1041"/>
    <mergeCell ref="C1041:E1041"/>
    <mergeCell ref="F1041:I1041"/>
    <mergeCell ref="M1041:N1041"/>
    <mergeCell ref="O1041:P1041"/>
    <mergeCell ref="Q1041:U1041"/>
    <mergeCell ref="A1040:B1040"/>
    <mergeCell ref="C1040:E1040"/>
    <mergeCell ref="F1040:I1040"/>
    <mergeCell ref="M1040:N1040"/>
    <mergeCell ref="O1040:P1040"/>
    <mergeCell ref="Q1040:U1040"/>
    <mergeCell ref="A1039:B1039"/>
    <mergeCell ref="C1039:E1039"/>
    <mergeCell ref="F1039:I1039"/>
    <mergeCell ref="M1039:N1039"/>
    <mergeCell ref="O1039:P1039"/>
    <mergeCell ref="Q1039:U1039"/>
    <mergeCell ref="A1038:B1038"/>
    <mergeCell ref="C1038:E1038"/>
    <mergeCell ref="F1038:I1038"/>
    <mergeCell ref="M1038:N1038"/>
    <mergeCell ref="O1038:P1038"/>
    <mergeCell ref="Q1038:U1038"/>
    <mergeCell ref="A1037:B1037"/>
    <mergeCell ref="C1037:E1037"/>
    <mergeCell ref="F1037:I1037"/>
    <mergeCell ref="M1037:N1037"/>
    <mergeCell ref="O1037:P1037"/>
    <mergeCell ref="Q1037:U1037"/>
    <mergeCell ref="A1048:B1048"/>
    <mergeCell ref="C1048:E1048"/>
    <mergeCell ref="F1048:I1048"/>
    <mergeCell ref="M1048:N1048"/>
    <mergeCell ref="O1048:P1048"/>
    <mergeCell ref="Q1048:U1048"/>
    <mergeCell ref="A1047:B1047"/>
    <mergeCell ref="C1047:E1047"/>
    <mergeCell ref="F1047:I1047"/>
    <mergeCell ref="M1047:N1047"/>
    <mergeCell ref="O1047:P1047"/>
    <mergeCell ref="Q1047:U1047"/>
    <mergeCell ref="A1046:B1046"/>
    <mergeCell ref="C1046:E1046"/>
    <mergeCell ref="F1046:I1046"/>
    <mergeCell ref="M1046:N1046"/>
    <mergeCell ref="O1046:P1046"/>
    <mergeCell ref="Q1046:U1046"/>
    <mergeCell ref="A1045:B1045"/>
    <mergeCell ref="C1045:E1045"/>
    <mergeCell ref="F1045:I1045"/>
    <mergeCell ref="M1045:N1045"/>
    <mergeCell ref="O1045:P1045"/>
    <mergeCell ref="Q1045:U1045"/>
    <mergeCell ref="A1044:B1044"/>
    <mergeCell ref="C1044:E1044"/>
    <mergeCell ref="F1044:I1044"/>
    <mergeCell ref="M1044:N1044"/>
    <mergeCell ref="O1044:P1044"/>
    <mergeCell ref="Q1044:U1044"/>
    <mergeCell ref="A1043:B1043"/>
    <mergeCell ref="C1043:E1043"/>
    <mergeCell ref="F1043:I1043"/>
    <mergeCell ref="M1043:N1043"/>
    <mergeCell ref="O1043:P1043"/>
    <mergeCell ref="Q1043:U1043"/>
    <mergeCell ref="A1054:B1054"/>
    <mergeCell ref="C1054:E1054"/>
    <mergeCell ref="F1054:I1054"/>
    <mergeCell ref="M1054:N1054"/>
    <mergeCell ref="O1054:P1054"/>
    <mergeCell ref="Q1054:U1054"/>
    <mergeCell ref="A1053:B1053"/>
    <mergeCell ref="C1053:E1053"/>
    <mergeCell ref="F1053:I1053"/>
    <mergeCell ref="M1053:N1053"/>
    <mergeCell ref="O1053:P1053"/>
    <mergeCell ref="Q1053:U1053"/>
    <mergeCell ref="A1052:B1052"/>
    <mergeCell ref="C1052:E1052"/>
    <mergeCell ref="F1052:I1052"/>
    <mergeCell ref="M1052:N1052"/>
    <mergeCell ref="O1052:P1052"/>
    <mergeCell ref="Q1052:U1052"/>
    <mergeCell ref="A1051:B1051"/>
    <mergeCell ref="C1051:E1051"/>
    <mergeCell ref="F1051:I1051"/>
    <mergeCell ref="M1051:N1051"/>
    <mergeCell ref="O1051:P1051"/>
    <mergeCell ref="Q1051:U1051"/>
    <mergeCell ref="A1050:B1050"/>
    <mergeCell ref="C1050:E1050"/>
    <mergeCell ref="F1050:I1050"/>
    <mergeCell ref="M1050:N1050"/>
    <mergeCell ref="O1050:P1050"/>
    <mergeCell ref="Q1050:U1050"/>
    <mergeCell ref="A1049:B1049"/>
    <mergeCell ref="C1049:E1049"/>
    <mergeCell ref="F1049:I1049"/>
    <mergeCell ref="M1049:N1049"/>
    <mergeCell ref="O1049:P1049"/>
    <mergeCell ref="Q1049:U1049"/>
    <mergeCell ref="A1066:I1066"/>
    <mergeCell ref="J1066:K1066"/>
    <mergeCell ref="L1066:N1066"/>
    <mergeCell ref="O1066:U1066"/>
    <mergeCell ref="A1067:B1067"/>
    <mergeCell ref="C1067:E1067"/>
    <mergeCell ref="F1067:I1067"/>
    <mergeCell ref="M1067:N1067"/>
    <mergeCell ref="O1067:P1067"/>
    <mergeCell ref="Q1067:U1067"/>
    <mergeCell ref="B1062:G1063"/>
    <mergeCell ref="H1062:M1062"/>
    <mergeCell ref="N1062:S1063"/>
    <mergeCell ref="T1062:W1063"/>
    <mergeCell ref="H1063:M1063"/>
    <mergeCell ref="B1064:D1064"/>
    <mergeCell ref="E1064:Q1065"/>
    <mergeCell ref="R1064:S1065"/>
    <mergeCell ref="T1064:U1065"/>
    <mergeCell ref="S1057:W1057"/>
    <mergeCell ref="C1058:T1058"/>
    <mergeCell ref="A1059:F1061"/>
    <mergeCell ref="G1059:T1059"/>
    <mergeCell ref="G1060:R1060"/>
    <mergeCell ref="G1061:Q1061"/>
    <mergeCell ref="A1056:B1056"/>
    <mergeCell ref="C1056:E1056"/>
    <mergeCell ref="F1056:I1056"/>
    <mergeCell ref="M1056:N1056"/>
    <mergeCell ref="O1056:P1056"/>
    <mergeCell ref="Q1056:U1056"/>
    <mergeCell ref="A1055:B1055"/>
    <mergeCell ref="C1055:E1055"/>
    <mergeCell ref="F1055:I1055"/>
    <mergeCell ref="M1055:N1055"/>
    <mergeCell ref="O1055:P1055"/>
    <mergeCell ref="Q1055:U1055"/>
    <mergeCell ref="A1073:B1073"/>
    <mergeCell ref="C1073:E1073"/>
    <mergeCell ref="F1073:I1073"/>
    <mergeCell ref="M1073:N1073"/>
    <mergeCell ref="O1073:P1073"/>
    <mergeCell ref="Q1073:U1073"/>
    <mergeCell ref="A1072:B1072"/>
    <mergeCell ref="C1072:E1072"/>
    <mergeCell ref="F1072:I1072"/>
    <mergeCell ref="M1072:N1072"/>
    <mergeCell ref="O1072:P1072"/>
    <mergeCell ref="Q1072:U1072"/>
    <mergeCell ref="A1071:B1071"/>
    <mergeCell ref="C1071:E1071"/>
    <mergeCell ref="F1071:I1071"/>
    <mergeCell ref="M1071:N1071"/>
    <mergeCell ref="O1071:P1071"/>
    <mergeCell ref="Q1071:U1071"/>
    <mergeCell ref="A1070:B1070"/>
    <mergeCell ref="C1070:E1070"/>
    <mergeCell ref="F1070:I1070"/>
    <mergeCell ref="M1070:N1070"/>
    <mergeCell ref="O1070:P1070"/>
    <mergeCell ref="Q1070:U1070"/>
    <mergeCell ref="A1069:B1069"/>
    <mergeCell ref="C1069:E1069"/>
    <mergeCell ref="F1069:I1069"/>
    <mergeCell ref="M1069:N1069"/>
    <mergeCell ref="O1069:P1069"/>
    <mergeCell ref="Q1069:U1069"/>
    <mergeCell ref="A1068:B1068"/>
    <mergeCell ref="C1068:E1068"/>
    <mergeCell ref="F1068:I1068"/>
    <mergeCell ref="M1068:N1068"/>
    <mergeCell ref="O1068:P1068"/>
    <mergeCell ref="Q1068:U1068"/>
    <mergeCell ref="A1079:B1079"/>
    <mergeCell ref="C1079:E1079"/>
    <mergeCell ref="F1079:I1079"/>
    <mergeCell ref="M1079:N1079"/>
    <mergeCell ref="O1079:P1079"/>
    <mergeCell ref="Q1079:U1079"/>
    <mergeCell ref="A1078:B1078"/>
    <mergeCell ref="C1078:E1078"/>
    <mergeCell ref="F1078:I1078"/>
    <mergeCell ref="M1078:N1078"/>
    <mergeCell ref="O1078:P1078"/>
    <mergeCell ref="Q1078:U1078"/>
    <mergeCell ref="A1077:B1077"/>
    <mergeCell ref="C1077:E1077"/>
    <mergeCell ref="F1077:I1077"/>
    <mergeCell ref="M1077:N1077"/>
    <mergeCell ref="O1077:P1077"/>
    <mergeCell ref="Q1077:U1077"/>
    <mergeCell ref="A1076:B1076"/>
    <mergeCell ref="C1076:E1076"/>
    <mergeCell ref="F1076:I1076"/>
    <mergeCell ref="M1076:N1076"/>
    <mergeCell ref="O1076:P1076"/>
    <mergeCell ref="Q1076:U1076"/>
    <mergeCell ref="A1075:B1075"/>
    <mergeCell ref="C1075:E1075"/>
    <mergeCell ref="F1075:I1075"/>
    <mergeCell ref="M1075:N1075"/>
    <mergeCell ref="O1075:P1075"/>
    <mergeCell ref="Q1075:U1075"/>
    <mergeCell ref="A1074:B1074"/>
    <mergeCell ref="C1074:E1074"/>
    <mergeCell ref="F1074:I1074"/>
    <mergeCell ref="M1074:N1074"/>
    <mergeCell ref="O1074:P1074"/>
    <mergeCell ref="Q1074:U1074"/>
    <mergeCell ref="A1085:B1085"/>
    <mergeCell ref="C1085:E1085"/>
    <mergeCell ref="F1085:I1085"/>
    <mergeCell ref="M1085:N1085"/>
    <mergeCell ref="O1085:P1085"/>
    <mergeCell ref="Q1085:U1085"/>
    <mergeCell ref="A1084:B1084"/>
    <mergeCell ref="C1084:E1084"/>
    <mergeCell ref="F1084:I1084"/>
    <mergeCell ref="M1084:N1084"/>
    <mergeCell ref="O1084:P1084"/>
    <mergeCell ref="Q1084:U1084"/>
    <mergeCell ref="A1083:B1083"/>
    <mergeCell ref="C1083:E1083"/>
    <mergeCell ref="F1083:I1083"/>
    <mergeCell ref="M1083:N1083"/>
    <mergeCell ref="O1083:P1083"/>
    <mergeCell ref="Q1083:U1083"/>
    <mergeCell ref="A1082:B1082"/>
    <mergeCell ref="C1082:E1082"/>
    <mergeCell ref="F1082:I1082"/>
    <mergeCell ref="M1082:N1082"/>
    <mergeCell ref="O1082:P1082"/>
    <mergeCell ref="Q1082:U1082"/>
    <mergeCell ref="A1081:B1081"/>
    <mergeCell ref="C1081:E1081"/>
    <mergeCell ref="F1081:I1081"/>
    <mergeCell ref="M1081:N1081"/>
    <mergeCell ref="O1081:P1081"/>
    <mergeCell ref="Q1081:U1081"/>
    <mergeCell ref="A1080:B1080"/>
    <mergeCell ref="C1080:E1080"/>
    <mergeCell ref="F1080:I1080"/>
    <mergeCell ref="M1080:N1080"/>
    <mergeCell ref="O1080:P1080"/>
    <mergeCell ref="Q1080:U1080"/>
    <mergeCell ref="A1091:B1091"/>
    <mergeCell ref="C1091:E1091"/>
    <mergeCell ref="F1091:I1091"/>
    <mergeCell ref="M1091:N1091"/>
    <mergeCell ref="O1091:P1091"/>
    <mergeCell ref="Q1091:U1091"/>
    <mergeCell ref="A1090:B1090"/>
    <mergeCell ref="C1090:E1090"/>
    <mergeCell ref="F1090:I1090"/>
    <mergeCell ref="M1090:N1090"/>
    <mergeCell ref="O1090:P1090"/>
    <mergeCell ref="Q1090:U1090"/>
    <mergeCell ref="A1089:B1089"/>
    <mergeCell ref="C1089:E1089"/>
    <mergeCell ref="F1089:I1089"/>
    <mergeCell ref="M1089:N1089"/>
    <mergeCell ref="O1089:P1089"/>
    <mergeCell ref="Q1089:U1089"/>
    <mergeCell ref="A1088:B1088"/>
    <mergeCell ref="C1088:E1088"/>
    <mergeCell ref="F1088:I1088"/>
    <mergeCell ref="M1088:N1088"/>
    <mergeCell ref="O1088:P1088"/>
    <mergeCell ref="Q1088:U1088"/>
    <mergeCell ref="A1087:B1087"/>
    <mergeCell ref="C1087:E1087"/>
    <mergeCell ref="F1087:I1087"/>
    <mergeCell ref="M1087:N1087"/>
    <mergeCell ref="O1087:P1087"/>
    <mergeCell ref="Q1087:U1087"/>
    <mergeCell ref="A1086:B1086"/>
    <mergeCell ref="C1086:E1086"/>
    <mergeCell ref="F1086:I1086"/>
    <mergeCell ref="M1086:N1086"/>
    <mergeCell ref="O1086:P1086"/>
    <mergeCell ref="Q1086:U1086"/>
    <mergeCell ref="A1097:B1097"/>
    <mergeCell ref="C1097:E1097"/>
    <mergeCell ref="F1097:I1097"/>
    <mergeCell ref="M1097:N1097"/>
    <mergeCell ref="O1097:P1097"/>
    <mergeCell ref="Q1097:U1097"/>
    <mergeCell ref="A1096:B1096"/>
    <mergeCell ref="C1096:E1096"/>
    <mergeCell ref="F1096:I1096"/>
    <mergeCell ref="M1096:N1096"/>
    <mergeCell ref="O1096:P1096"/>
    <mergeCell ref="Q1096:U1096"/>
    <mergeCell ref="A1095:B1095"/>
    <mergeCell ref="C1095:E1095"/>
    <mergeCell ref="F1095:I1095"/>
    <mergeCell ref="M1095:N1095"/>
    <mergeCell ref="O1095:P1095"/>
    <mergeCell ref="Q1095:U1095"/>
    <mergeCell ref="A1094:B1094"/>
    <mergeCell ref="C1094:E1094"/>
    <mergeCell ref="F1094:I1094"/>
    <mergeCell ref="M1094:N1094"/>
    <mergeCell ref="O1094:P1094"/>
    <mergeCell ref="Q1094:U1094"/>
    <mergeCell ref="A1093:B1093"/>
    <mergeCell ref="C1093:E1093"/>
    <mergeCell ref="F1093:I1093"/>
    <mergeCell ref="M1093:N1093"/>
    <mergeCell ref="O1093:P1093"/>
    <mergeCell ref="Q1093:U1093"/>
    <mergeCell ref="A1092:B1092"/>
    <mergeCell ref="C1092:E1092"/>
    <mergeCell ref="F1092:I1092"/>
    <mergeCell ref="M1092:N1092"/>
    <mergeCell ref="O1092:P1092"/>
    <mergeCell ref="Q1092:U1092"/>
    <mergeCell ref="S1104:W1104"/>
    <mergeCell ref="C1105:T1105"/>
    <mergeCell ref="A1106:F1108"/>
    <mergeCell ref="G1106:T1106"/>
    <mergeCell ref="G1107:R1107"/>
    <mergeCell ref="G1108:Q1108"/>
    <mergeCell ref="A1102:B1102"/>
    <mergeCell ref="C1102:E1102"/>
    <mergeCell ref="F1102:I1102"/>
    <mergeCell ref="M1102:N1102"/>
    <mergeCell ref="O1102:P1102"/>
    <mergeCell ref="Q1102:U1102"/>
    <mergeCell ref="A1101:B1101"/>
    <mergeCell ref="C1101:E1101"/>
    <mergeCell ref="F1101:I1101"/>
    <mergeCell ref="M1101:N1101"/>
    <mergeCell ref="O1101:P1101"/>
    <mergeCell ref="Q1101:U1101"/>
    <mergeCell ref="A1100:B1100"/>
    <mergeCell ref="C1100:E1100"/>
    <mergeCell ref="F1100:I1100"/>
    <mergeCell ref="M1100:N1100"/>
    <mergeCell ref="O1100:P1100"/>
    <mergeCell ref="Q1100:U1100"/>
    <mergeCell ref="A1099:B1099"/>
    <mergeCell ref="C1099:E1099"/>
    <mergeCell ref="F1099:I1099"/>
    <mergeCell ref="M1099:N1099"/>
    <mergeCell ref="O1099:P1099"/>
    <mergeCell ref="Q1099:U1099"/>
    <mergeCell ref="A1098:B1098"/>
    <mergeCell ref="C1098:E1098"/>
    <mergeCell ref="F1098:I1098"/>
    <mergeCell ref="M1098:N1098"/>
    <mergeCell ref="O1098:P1098"/>
    <mergeCell ref="Q1098:U1098"/>
    <mergeCell ref="A1117:B1117"/>
    <mergeCell ref="C1117:E1117"/>
    <mergeCell ref="F1117:I1117"/>
    <mergeCell ref="M1117:N1117"/>
    <mergeCell ref="O1117:P1117"/>
    <mergeCell ref="Q1117:U1117"/>
    <mergeCell ref="A1116:B1116"/>
    <mergeCell ref="C1116:E1116"/>
    <mergeCell ref="F1116:I1116"/>
    <mergeCell ref="M1116:N1116"/>
    <mergeCell ref="O1116:P1116"/>
    <mergeCell ref="Q1116:U1116"/>
    <mergeCell ref="A1115:B1115"/>
    <mergeCell ref="C1115:E1115"/>
    <mergeCell ref="F1115:I1115"/>
    <mergeCell ref="M1115:N1115"/>
    <mergeCell ref="O1115:P1115"/>
    <mergeCell ref="Q1115:U1115"/>
    <mergeCell ref="A1113:I1113"/>
    <mergeCell ref="J1113:K1113"/>
    <mergeCell ref="L1113:N1113"/>
    <mergeCell ref="O1113:U1113"/>
    <mergeCell ref="A1114:B1114"/>
    <mergeCell ref="C1114:E1114"/>
    <mergeCell ref="F1114:I1114"/>
    <mergeCell ref="M1114:N1114"/>
    <mergeCell ref="O1114:P1114"/>
    <mergeCell ref="Q1114:U1114"/>
    <mergeCell ref="B1109:G1110"/>
    <mergeCell ref="H1109:M1109"/>
    <mergeCell ref="N1109:S1110"/>
    <mergeCell ref="T1109:W1110"/>
    <mergeCell ref="H1110:M1110"/>
    <mergeCell ref="B1111:D1111"/>
    <mergeCell ref="E1111:Q1112"/>
    <mergeCell ref="R1111:S1112"/>
    <mergeCell ref="T1111:U1112"/>
    <mergeCell ref="A1123:B1123"/>
    <mergeCell ref="C1123:E1123"/>
    <mergeCell ref="F1123:I1123"/>
    <mergeCell ref="M1123:N1123"/>
    <mergeCell ref="O1123:P1123"/>
    <mergeCell ref="Q1123:U1123"/>
    <mergeCell ref="A1122:B1122"/>
    <mergeCell ref="C1122:E1122"/>
    <mergeCell ref="F1122:I1122"/>
    <mergeCell ref="M1122:N1122"/>
    <mergeCell ref="O1122:P1122"/>
    <mergeCell ref="Q1122:U1122"/>
    <mergeCell ref="A1121:B1121"/>
    <mergeCell ref="C1121:E1121"/>
    <mergeCell ref="F1121:I1121"/>
    <mergeCell ref="M1121:N1121"/>
    <mergeCell ref="O1121:P1121"/>
    <mergeCell ref="Q1121:U1121"/>
    <mergeCell ref="A1120:B1120"/>
    <mergeCell ref="C1120:E1120"/>
    <mergeCell ref="F1120:I1120"/>
    <mergeCell ref="M1120:N1120"/>
    <mergeCell ref="O1120:P1120"/>
    <mergeCell ref="Q1120:U1120"/>
    <mergeCell ref="A1119:B1119"/>
    <mergeCell ref="C1119:E1119"/>
    <mergeCell ref="F1119:I1119"/>
    <mergeCell ref="M1119:N1119"/>
    <mergeCell ref="O1119:P1119"/>
    <mergeCell ref="Q1119:U1119"/>
    <mergeCell ref="A1118:B1118"/>
    <mergeCell ref="C1118:E1118"/>
    <mergeCell ref="F1118:I1118"/>
    <mergeCell ref="M1118:N1118"/>
    <mergeCell ref="O1118:P1118"/>
    <mergeCell ref="Q1118:U1118"/>
    <mergeCell ref="A1129:B1129"/>
    <mergeCell ref="C1129:E1129"/>
    <mergeCell ref="F1129:I1129"/>
    <mergeCell ref="M1129:N1129"/>
    <mergeCell ref="O1129:P1129"/>
    <mergeCell ref="Q1129:U1129"/>
    <mergeCell ref="A1128:B1128"/>
    <mergeCell ref="C1128:E1128"/>
    <mergeCell ref="F1128:I1128"/>
    <mergeCell ref="M1128:N1128"/>
    <mergeCell ref="O1128:P1128"/>
    <mergeCell ref="Q1128:U1128"/>
    <mergeCell ref="A1127:B1127"/>
    <mergeCell ref="C1127:E1127"/>
    <mergeCell ref="F1127:I1127"/>
    <mergeCell ref="M1127:N1127"/>
    <mergeCell ref="O1127:P1127"/>
    <mergeCell ref="Q1127:U1127"/>
    <mergeCell ref="A1126:B1126"/>
    <mergeCell ref="C1126:E1126"/>
    <mergeCell ref="F1126:I1126"/>
    <mergeCell ref="M1126:N1126"/>
    <mergeCell ref="O1126:P1126"/>
    <mergeCell ref="Q1126:U1126"/>
    <mergeCell ref="A1125:B1125"/>
    <mergeCell ref="C1125:E1125"/>
    <mergeCell ref="F1125:I1125"/>
    <mergeCell ref="M1125:N1125"/>
    <mergeCell ref="O1125:P1125"/>
    <mergeCell ref="Q1125:U1125"/>
    <mergeCell ref="A1124:B1124"/>
    <mergeCell ref="C1124:E1124"/>
    <mergeCell ref="F1124:I1124"/>
    <mergeCell ref="M1124:N1124"/>
    <mergeCell ref="O1124:P1124"/>
    <mergeCell ref="Q1124:U1124"/>
    <mergeCell ref="A1135:B1135"/>
    <mergeCell ref="C1135:E1135"/>
    <mergeCell ref="F1135:I1135"/>
    <mergeCell ref="M1135:N1135"/>
    <mergeCell ref="O1135:P1135"/>
    <mergeCell ref="Q1135:U1135"/>
    <mergeCell ref="A1134:B1134"/>
    <mergeCell ref="C1134:E1134"/>
    <mergeCell ref="F1134:I1134"/>
    <mergeCell ref="M1134:N1134"/>
    <mergeCell ref="O1134:P1134"/>
    <mergeCell ref="Q1134:U1134"/>
    <mergeCell ref="A1133:B1133"/>
    <mergeCell ref="C1133:E1133"/>
    <mergeCell ref="F1133:I1133"/>
    <mergeCell ref="M1133:N1133"/>
    <mergeCell ref="O1133:P1133"/>
    <mergeCell ref="Q1133:U1133"/>
    <mergeCell ref="A1132:B1132"/>
    <mergeCell ref="C1132:E1132"/>
    <mergeCell ref="F1132:I1132"/>
    <mergeCell ref="M1132:N1132"/>
    <mergeCell ref="O1132:P1132"/>
    <mergeCell ref="Q1132:U1132"/>
    <mergeCell ref="A1131:B1131"/>
    <mergeCell ref="C1131:E1131"/>
    <mergeCell ref="F1131:I1131"/>
    <mergeCell ref="M1131:N1131"/>
    <mergeCell ref="O1131:P1131"/>
    <mergeCell ref="Q1131:U1131"/>
    <mergeCell ref="A1130:B1130"/>
    <mergeCell ref="C1130:E1130"/>
    <mergeCell ref="F1130:I1130"/>
    <mergeCell ref="M1130:N1130"/>
    <mergeCell ref="O1130:P1130"/>
    <mergeCell ref="Q1130:U1130"/>
    <mergeCell ref="A1141:B1141"/>
    <mergeCell ref="C1141:E1141"/>
    <mergeCell ref="F1141:I1141"/>
    <mergeCell ref="M1141:N1141"/>
    <mergeCell ref="O1141:P1141"/>
    <mergeCell ref="Q1141:U1141"/>
    <mergeCell ref="A1140:B1140"/>
    <mergeCell ref="C1140:E1140"/>
    <mergeCell ref="F1140:I1140"/>
    <mergeCell ref="M1140:N1140"/>
    <mergeCell ref="O1140:P1140"/>
    <mergeCell ref="Q1140:U1140"/>
    <mergeCell ref="A1139:B1139"/>
    <mergeCell ref="C1139:E1139"/>
    <mergeCell ref="F1139:I1139"/>
    <mergeCell ref="M1139:N1139"/>
    <mergeCell ref="O1139:P1139"/>
    <mergeCell ref="Q1139:U1139"/>
    <mergeCell ref="A1138:B1138"/>
    <mergeCell ref="C1138:E1138"/>
    <mergeCell ref="F1138:I1138"/>
    <mergeCell ref="M1138:N1138"/>
    <mergeCell ref="O1138:P1138"/>
    <mergeCell ref="Q1138:U1138"/>
    <mergeCell ref="A1137:B1137"/>
    <mergeCell ref="C1137:E1137"/>
    <mergeCell ref="F1137:I1137"/>
    <mergeCell ref="M1137:N1137"/>
    <mergeCell ref="O1137:P1137"/>
    <mergeCell ref="Q1137:U1137"/>
    <mergeCell ref="A1136:B1136"/>
    <mergeCell ref="C1136:E1136"/>
    <mergeCell ref="F1136:I1136"/>
    <mergeCell ref="M1136:N1136"/>
    <mergeCell ref="O1136:P1136"/>
    <mergeCell ref="Q1136:U1136"/>
    <mergeCell ref="A1147:B1147"/>
    <mergeCell ref="C1147:E1147"/>
    <mergeCell ref="F1147:I1147"/>
    <mergeCell ref="M1147:N1147"/>
    <mergeCell ref="O1147:P1147"/>
    <mergeCell ref="Q1147:U1147"/>
    <mergeCell ref="A1146:B1146"/>
    <mergeCell ref="C1146:E1146"/>
    <mergeCell ref="F1146:I1146"/>
    <mergeCell ref="M1146:N1146"/>
    <mergeCell ref="O1146:P1146"/>
    <mergeCell ref="Q1146:U1146"/>
    <mergeCell ref="A1145:B1145"/>
    <mergeCell ref="C1145:E1145"/>
    <mergeCell ref="F1145:I1145"/>
    <mergeCell ref="M1145:N1145"/>
    <mergeCell ref="O1145:P1145"/>
    <mergeCell ref="Q1145:U1145"/>
    <mergeCell ref="A1144:B1144"/>
    <mergeCell ref="C1144:E1144"/>
    <mergeCell ref="F1144:I1144"/>
    <mergeCell ref="M1144:N1144"/>
    <mergeCell ref="O1144:P1144"/>
    <mergeCell ref="Q1144:U1144"/>
    <mergeCell ref="A1143:B1143"/>
    <mergeCell ref="C1143:E1143"/>
    <mergeCell ref="F1143:I1143"/>
    <mergeCell ref="M1143:N1143"/>
    <mergeCell ref="O1143:P1143"/>
    <mergeCell ref="Q1143:U1143"/>
    <mergeCell ref="A1142:B1142"/>
    <mergeCell ref="C1142:E1142"/>
    <mergeCell ref="F1142:I1142"/>
    <mergeCell ref="M1142:N1142"/>
    <mergeCell ref="O1142:P1142"/>
    <mergeCell ref="Q1142:U1142"/>
    <mergeCell ref="A1159:I1159"/>
    <mergeCell ref="J1159:K1159"/>
    <mergeCell ref="L1159:N1159"/>
    <mergeCell ref="O1159:U1159"/>
    <mergeCell ref="A1160:B1160"/>
    <mergeCell ref="C1160:E1160"/>
    <mergeCell ref="F1160:I1160"/>
    <mergeCell ref="M1160:N1160"/>
    <mergeCell ref="O1160:P1160"/>
    <mergeCell ref="Q1160:U1160"/>
    <mergeCell ref="B1155:G1156"/>
    <mergeCell ref="H1155:M1155"/>
    <mergeCell ref="N1155:S1156"/>
    <mergeCell ref="T1155:W1156"/>
    <mergeCell ref="H1156:M1156"/>
    <mergeCell ref="B1157:D1157"/>
    <mergeCell ref="E1157:Q1158"/>
    <mergeCell ref="R1157:S1158"/>
    <mergeCell ref="T1157:U1158"/>
    <mergeCell ref="S1150:W1150"/>
    <mergeCell ref="C1151:T1151"/>
    <mergeCell ref="A1152:F1154"/>
    <mergeCell ref="G1152:T1152"/>
    <mergeCell ref="G1153:R1153"/>
    <mergeCell ref="G1154:Q1154"/>
    <mergeCell ref="A1149:B1149"/>
    <mergeCell ref="C1149:E1149"/>
    <mergeCell ref="F1149:I1149"/>
    <mergeCell ref="M1149:N1149"/>
    <mergeCell ref="O1149:P1149"/>
    <mergeCell ref="Q1149:U1149"/>
    <mergeCell ref="A1148:B1148"/>
    <mergeCell ref="C1148:E1148"/>
    <mergeCell ref="F1148:I1148"/>
    <mergeCell ref="M1148:N1148"/>
    <mergeCell ref="O1148:P1148"/>
    <mergeCell ref="Q1148:U1148"/>
    <mergeCell ref="A1166:B1166"/>
    <mergeCell ref="C1166:E1166"/>
    <mergeCell ref="F1166:I1166"/>
    <mergeCell ref="M1166:N1166"/>
    <mergeCell ref="O1166:P1166"/>
    <mergeCell ref="Q1166:U1166"/>
    <mergeCell ref="A1165:B1165"/>
    <mergeCell ref="C1165:E1165"/>
    <mergeCell ref="F1165:I1165"/>
    <mergeCell ref="M1165:N1165"/>
    <mergeCell ref="O1165:P1165"/>
    <mergeCell ref="Q1165:U1165"/>
    <mergeCell ref="A1164:B1164"/>
    <mergeCell ref="C1164:E1164"/>
    <mergeCell ref="F1164:I1164"/>
    <mergeCell ref="M1164:N1164"/>
    <mergeCell ref="O1164:P1164"/>
    <mergeCell ref="Q1164:U1164"/>
    <mergeCell ref="A1163:B1163"/>
    <mergeCell ref="C1163:E1163"/>
    <mergeCell ref="F1163:I1163"/>
    <mergeCell ref="M1163:N1163"/>
    <mergeCell ref="O1163:P1163"/>
    <mergeCell ref="Q1163:U1163"/>
    <mergeCell ref="A1162:B1162"/>
    <mergeCell ref="C1162:E1162"/>
    <mergeCell ref="F1162:I1162"/>
    <mergeCell ref="M1162:N1162"/>
    <mergeCell ref="O1162:P1162"/>
    <mergeCell ref="Q1162:U1162"/>
    <mergeCell ref="A1161:B1161"/>
    <mergeCell ref="C1161:E1161"/>
    <mergeCell ref="F1161:I1161"/>
    <mergeCell ref="M1161:N1161"/>
    <mergeCell ref="O1161:P1161"/>
    <mergeCell ref="Q1161:U1161"/>
    <mergeCell ref="A1172:B1172"/>
    <mergeCell ref="C1172:E1172"/>
    <mergeCell ref="F1172:I1172"/>
    <mergeCell ref="M1172:N1172"/>
    <mergeCell ref="O1172:P1172"/>
    <mergeCell ref="Q1172:U1172"/>
    <mergeCell ref="A1171:B1171"/>
    <mergeCell ref="C1171:E1171"/>
    <mergeCell ref="F1171:I1171"/>
    <mergeCell ref="M1171:N1171"/>
    <mergeCell ref="O1171:P1171"/>
    <mergeCell ref="Q1171:U1171"/>
    <mergeCell ref="A1170:B1170"/>
    <mergeCell ref="C1170:E1170"/>
    <mergeCell ref="F1170:I1170"/>
    <mergeCell ref="M1170:N1170"/>
    <mergeCell ref="O1170:P1170"/>
    <mergeCell ref="Q1170:U1170"/>
    <mergeCell ref="A1169:B1169"/>
    <mergeCell ref="C1169:E1169"/>
    <mergeCell ref="F1169:I1169"/>
    <mergeCell ref="M1169:N1169"/>
    <mergeCell ref="O1169:P1169"/>
    <mergeCell ref="Q1169:U1169"/>
    <mergeCell ref="A1168:B1168"/>
    <mergeCell ref="C1168:E1168"/>
    <mergeCell ref="F1168:I1168"/>
    <mergeCell ref="M1168:N1168"/>
    <mergeCell ref="O1168:P1168"/>
    <mergeCell ref="Q1168:U1168"/>
    <mergeCell ref="A1167:B1167"/>
    <mergeCell ref="C1167:E1167"/>
    <mergeCell ref="F1167:I1167"/>
    <mergeCell ref="M1167:N1167"/>
    <mergeCell ref="O1167:P1167"/>
    <mergeCell ref="Q1167:U1167"/>
    <mergeCell ref="A1178:B1178"/>
    <mergeCell ref="C1178:E1178"/>
    <mergeCell ref="F1178:I1178"/>
    <mergeCell ref="M1178:N1178"/>
    <mergeCell ref="O1178:P1178"/>
    <mergeCell ref="Q1178:U1178"/>
    <mergeCell ref="A1177:B1177"/>
    <mergeCell ref="C1177:E1177"/>
    <mergeCell ref="F1177:I1177"/>
    <mergeCell ref="M1177:N1177"/>
    <mergeCell ref="O1177:P1177"/>
    <mergeCell ref="Q1177:U1177"/>
    <mergeCell ref="A1176:B1176"/>
    <mergeCell ref="C1176:E1176"/>
    <mergeCell ref="F1176:I1176"/>
    <mergeCell ref="M1176:N1176"/>
    <mergeCell ref="O1176:P1176"/>
    <mergeCell ref="Q1176:U1176"/>
    <mergeCell ref="A1175:B1175"/>
    <mergeCell ref="C1175:E1175"/>
    <mergeCell ref="F1175:I1175"/>
    <mergeCell ref="M1175:N1175"/>
    <mergeCell ref="O1175:P1175"/>
    <mergeCell ref="Q1175:U1175"/>
    <mergeCell ref="A1174:B1174"/>
    <mergeCell ref="C1174:E1174"/>
    <mergeCell ref="F1174:I1174"/>
    <mergeCell ref="M1174:N1174"/>
    <mergeCell ref="O1174:P1174"/>
    <mergeCell ref="Q1174:U1174"/>
    <mergeCell ref="A1173:B1173"/>
    <mergeCell ref="C1173:E1173"/>
    <mergeCell ref="F1173:I1173"/>
    <mergeCell ref="M1173:N1173"/>
    <mergeCell ref="O1173:P1173"/>
    <mergeCell ref="Q1173:U1173"/>
    <mergeCell ref="A1184:B1184"/>
    <mergeCell ref="C1184:E1184"/>
    <mergeCell ref="F1184:I1184"/>
    <mergeCell ref="M1184:N1184"/>
    <mergeCell ref="O1184:P1184"/>
    <mergeCell ref="Q1184:U1184"/>
    <mergeCell ref="A1183:B1183"/>
    <mergeCell ref="C1183:E1183"/>
    <mergeCell ref="F1183:I1183"/>
    <mergeCell ref="M1183:N1183"/>
    <mergeCell ref="O1183:P1183"/>
    <mergeCell ref="Q1183:U1183"/>
    <mergeCell ref="A1182:B1182"/>
    <mergeCell ref="C1182:E1182"/>
    <mergeCell ref="F1182:I1182"/>
    <mergeCell ref="M1182:N1182"/>
    <mergeCell ref="O1182:P1182"/>
    <mergeCell ref="Q1182:U1182"/>
    <mergeCell ref="A1181:B1181"/>
    <mergeCell ref="C1181:E1181"/>
    <mergeCell ref="F1181:I1181"/>
    <mergeCell ref="M1181:N1181"/>
    <mergeCell ref="O1181:P1181"/>
    <mergeCell ref="Q1181:U1181"/>
    <mergeCell ref="A1180:B1180"/>
    <mergeCell ref="C1180:E1180"/>
    <mergeCell ref="F1180:I1180"/>
    <mergeCell ref="M1180:N1180"/>
    <mergeCell ref="O1180:P1180"/>
    <mergeCell ref="Q1180:U1180"/>
    <mergeCell ref="A1179:B1179"/>
    <mergeCell ref="C1179:E1179"/>
    <mergeCell ref="F1179:I1179"/>
    <mergeCell ref="M1179:N1179"/>
    <mergeCell ref="O1179:P1179"/>
    <mergeCell ref="Q1179:U1179"/>
    <mergeCell ref="A1190:B1190"/>
    <mergeCell ref="C1190:E1190"/>
    <mergeCell ref="F1190:I1190"/>
    <mergeCell ref="M1190:N1190"/>
    <mergeCell ref="O1190:P1190"/>
    <mergeCell ref="Q1190:U1190"/>
    <mergeCell ref="A1189:B1189"/>
    <mergeCell ref="C1189:E1189"/>
    <mergeCell ref="F1189:I1189"/>
    <mergeCell ref="M1189:N1189"/>
    <mergeCell ref="O1189:P1189"/>
    <mergeCell ref="Q1189:U1189"/>
    <mergeCell ref="A1188:B1188"/>
    <mergeCell ref="C1188:E1188"/>
    <mergeCell ref="F1188:I1188"/>
    <mergeCell ref="M1188:N1188"/>
    <mergeCell ref="O1188:P1188"/>
    <mergeCell ref="Q1188:U1188"/>
    <mergeCell ref="A1187:B1187"/>
    <mergeCell ref="C1187:E1187"/>
    <mergeCell ref="F1187:I1187"/>
    <mergeCell ref="M1187:N1187"/>
    <mergeCell ref="O1187:P1187"/>
    <mergeCell ref="Q1187:U1187"/>
    <mergeCell ref="A1186:B1186"/>
    <mergeCell ref="C1186:E1186"/>
    <mergeCell ref="F1186:I1186"/>
    <mergeCell ref="M1186:N1186"/>
    <mergeCell ref="O1186:P1186"/>
    <mergeCell ref="Q1186:U1186"/>
    <mergeCell ref="A1185:B1185"/>
    <mergeCell ref="C1185:E1185"/>
    <mergeCell ref="F1185:I1185"/>
    <mergeCell ref="M1185:N1185"/>
    <mergeCell ref="O1185:P1185"/>
    <mergeCell ref="Q1185:U1185"/>
    <mergeCell ref="S1197:W1197"/>
    <mergeCell ref="C1198:T1198"/>
    <mergeCell ref="A1199:F1201"/>
    <mergeCell ref="G1199:T1199"/>
    <mergeCell ref="G1200:R1200"/>
    <mergeCell ref="G1201:Q1201"/>
    <mergeCell ref="A1195:B1195"/>
    <mergeCell ref="C1195:E1195"/>
    <mergeCell ref="F1195:I1195"/>
    <mergeCell ref="M1195:N1195"/>
    <mergeCell ref="O1195:P1195"/>
    <mergeCell ref="Q1195:U1195"/>
    <mergeCell ref="A1194:B1194"/>
    <mergeCell ref="C1194:E1194"/>
    <mergeCell ref="F1194:I1194"/>
    <mergeCell ref="M1194:N1194"/>
    <mergeCell ref="O1194:P1194"/>
    <mergeCell ref="Q1194:U1194"/>
    <mergeCell ref="A1193:B1193"/>
    <mergeCell ref="C1193:E1193"/>
    <mergeCell ref="F1193:I1193"/>
    <mergeCell ref="M1193:N1193"/>
    <mergeCell ref="O1193:P1193"/>
    <mergeCell ref="Q1193:U1193"/>
    <mergeCell ref="A1192:B1192"/>
    <mergeCell ref="C1192:E1192"/>
    <mergeCell ref="F1192:I1192"/>
    <mergeCell ref="M1192:N1192"/>
    <mergeCell ref="O1192:P1192"/>
    <mergeCell ref="Q1192:U1192"/>
    <mergeCell ref="A1191:B1191"/>
    <mergeCell ref="C1191:E1191"/>
    <mergeCell ref="F1191:I1191"/>
    <mergeCell ref="M1191:N1191"/>
    <mergeCell ref="O1191:P1191"/>
    <mergeCell ref="Q1191:U1191"/>
    <mergeCell ref="A1210:B1210"/>
    <mergeCell ref="C1210:E1210"/>
    <mergeCell ref="F1210:I1210"/>
    <mergeCell ref="M1210:N1210"/>
    <mergeCell ref="O1210:P1210"/>
    <mergeCell ref="Q1210:U1210"/>
    <mergeCell ref="A1209:B1209"/>
    <mergeCell ref="C1209:E1209"/>
    <mergeCell ref="F1209:I1209"/>
    <mergeCell ref="M1209:N1209"/>
    <mergeCell ref="O1209:P1209"/>
    <mergeCell ref="Q1209:U1209"/>
    <mergeCell ref="A1208:B1208"/>
    <mergeCell ref="C1208:E1208"/>
    <mergeCell ref="F1208:I1208"/>
    <mergeCell ref="M1208:N1208"/>
    <mergeCell ref="O1208:P1208"/>
    <mergeCell ref="Q1208:U1208"/>
    <mergeCell ref="A1206:I1206"/>
    <mergeCell ref="J1206:K1206"/>
    <mergeCell ref="L1206:N1206"/>
    <mergeCell ref="O1206:U1206"/>
    <mergeCell ref="A1207:B1207"/>
    <mergeCell ref="C1207:E1207"/>
    <mergeCell ref="F1207:I1207"/>
    <mergeCell ref="M1207:N1207"/>
    <mergeCell ref="O1207:P1207"/>
    <mergeCell ref="Q1207:U1207"/>
    <mergeCell ref="B1202:G1203"/>
    <mergeCell ref="H1202:M1202"/>
    <mergeCell ref="N1202:S1203"/>
    <mergeCell ref="T1202:W1203"/>
    <mergeCell ref="H1203:M1203"/>
    <mergeCell ref="B1204:D1204"/>
    <mergeCell ref="E1204:Q1205"/>
    <mergeCell ref="R1204:S1205"/>
    <mergeCell ref="T1204:U1205"/>
    <mergeCell ref="A1216:B1216"/>
    <mergeCell ref="C1216:E1216"/>
    <mergeCell ref="F1216:I1216"/>
    <mergeCell ref="M1216:N1216"/>
    <mergeCell ref="O1216:P1216"/>
    <mergeCell ref="Q1216:U1216"/>
    <mergeCell ref="A1215:B1215"/>
    <mergeCell ref="C1215:E1215"/>
    <mergeCell ref="F1215:I1215"/>
    <mergeCell ref="M1215:N1215"/>
    <mergeCell ref="O1215:P1215"/>
    <mergeCell ref="Q1215:U1215"/>
    <mergeCell ref="A1214:B1214"/>
    <mergeCell ref="C1214:E1214"/>
    <mergeCell ref="F1214:I1214"/>
    <mergeCell ref="M1214:N1214"/>
    <mergeCell ref="O1214:P1214"/>
    <mergeCell ref="Q1214:U1214"/>
    <mergeCell ref="A1213:B1213"/>
    <mergeCell ref="C1213:E1213"/>
    <mergeCell ref="F1213:I1213"/>
    <mergeCell ref="M1213:N1213"/>
    <mergeCell ref="O1213:P1213"/>
    <mergeCell ref="Q1213:U1213"/>
    <mergeCell ref="A1212:B1212"/>
    <mergeCell ref="C1212:E1212"/>
    <mergeCell ref="F1212:I1212"/>
    <mergeCell ref="M1212:N1212"/>
    <mergeCell ref="O1212:P1212"/>
    <mergeCell ref="Q1212:U1212"/>
    <mergeCell ref="A1211:B1211"/>
    <mergeCell ref="C1211:E1211"/>
    <mergeCell ref="F1211:I1211"/>
    <mergeCell ref="M1211:N1211"/>
    <mergeCell ref="O1211:P1211"/>
    <mergeCell ref="Q1211:U1211"/>
    <mergeCell ref="A1222:B1222"/>
    <mergeCell ref="C1222:E1222"/>
    <mergeCell ref="F1222:I1222"/>
    <mergeCell ref="M1222:N1222"/>
    <mergeCell ref="O1222:P1222"/>
    <mergeCell ref="Q1222:U1222"/>
    <mergeCell ref="A1221:B1221"/>
    <mergeCell ref="C1221:E1221"/>
    <mergeCell ref="F1221:I1221"/>
    <mergeCell ref="M1221:N1221"/>
    <mergeCell ref="O1221:P1221"/>
    <mergeCell ref="Q1221:U1221"/>
    <mergeCell ref="A1220:B1220"/>
    <mergeCell ref="C1220:E1220"/>
    <mergeCell ref="F1220:I1220"/>
    <mergeCell ref="M1220:N1220"/>
    <mergeCell ref="O1220:P1220"/>
    <mergeCell ref="Q1220:U1220"/>
    <mergeCell ref="A1219:B1219"/>
    <mergeCell ref="C1219:E1219"/>
    <mergeCell ref="F1219:I1219"/>
    <mergeCell ref="M1219:N1219"/>
    <mergeCell ref="O1219:P1219"/>
    <mergeCell ref="Q1219:U1219"/>
    <mergeCell ref="A1218:B1218"/>
    <mergeCell ref="C1218:E1218"/>
    <mergeCell ref="F1218:I1218"/>
    <mergeCell ref="M1218:N1218"/>
    <mergeCell ref="O1218:P1218"/>
    <mergeCell ref="Q1218:U1218"/>
    <mergeCell ref="A1217:B1217"/>
    <mergeCell ref="C1217:E1217"/>
    <mergeCell ref="F1217:I1217"/>
    <mergeCell ref="M1217:N1217"/>
    <mergeCell ref="O1217:P1217"/>
    <mergeCell ref="Q1217:U1217"/>
    <mergeCell ref="A1228:B1228"/>
    <mergeCell ref="C1228:E1228"/>
    <mergeCell ref="F1228:I1228"/>
    <mergeCell ref="M1228:N1228"/>
    <mergeCell ref="O1228:P1228"/>
    <mergeCell ref="Q1228:U1228"/>
    <mergeCell ref="A1227:B1227"/>
    <mergeCell ref="C1227:E1227"/>
    <mergeCell ref="F1227:I1227"/>
    <mergeCell ref="M1227:N1227"/>
    <mergeCell ref="O1227:P1227"/>
    <mergeCell ref="Q1227:U1227"/>
    <mergeCell ref="A1226:B1226"/>
    <mergeCell ref="C1226:E1226"/>
    <mergeCell ref="F1226:I1226"/>
    <mergeCell ref="M1226:N1226"/>
    <mergeCell ref="O1226:P1226"/>
    <mergeCell ref="Q1226:U1226"/>
    <mergeCell ref="A1225:B1225"/>
    <mergeCell ref="C1225:E1225"/>
    <mergeCell ref="F1225:I1225"/>
    <mergeCell ref="M1225:N1225"/>
    <mergeCell ref="O1225:P1225"/>
    <mergeCell ref="Q1225:U1225"/>
    <mergeCell ref="A1224:B1224"/>
    <mergeCell ref="C1224:E1224"/>
    <mergeCell ref="F1224:I1224"/>
    <mergeCell ref="M1224:N1224"/>
    <mergeCell ref="O1224:P1224"/>
    <mergeCell ref="Q1224:U1224"/>
    <mergeCell ref="A1223:B1223"/>
    <mergeCell ref="C1223:E1223"/>
    <mergeCell ref="F1223:I1223"/>
    <mergeCell ref="M1223:N1223"/>
    <mergeCell ref="O1223:P1223"/>
    <mergeCell ref="Q1223:U1223"/>
    <mergeCell ref="S1235:W1235"/>
    <mergeCell ref="C1236:T1236"/>
    <mergeCell ref="A1237:F1239"/>
    <mergeCell ref="G1237:T1237"/>
    <mergeCell ref="G1238:R1238"/>
    <mergeCell ref="G1239:Q1239"/>
    <mergeCell ref="A1233:B1233"/>
    <mergeCell ref="C1233:E1233"/>
    <mergeCell ref="F1233:I1233"/>
    <mergeCell ref="M1233:N1233"/>
    <mergeCell ref="O1233:P1233"/>
    <mergeCell ref="Q1233:U1233"/>
    <mergeCell ref="A1232:B1232"/>
    <mergeCell ref="C1232:E1232"/>
    <mergeCell ref="F1232:I1232"/>
    <mergeCell ref="M1232:N1232"/>
    <mergeCell ref="O1232:P1232"/>
    <mergeCell ref="Q1232:U1232"/>
    <mergeCell ref="A1231:B1231"/>
    <mergeCell ref="C1231:E1231"/>
    <mergeCell ref="F1231:I1231"/>
    <mergeCell ref="M1231:N1231"/>
    <mergeCell ref="O1231:P1231"/>
    <mergeCell ref="Q1231:U1231"/>
    <mergeCell ref="A1230:B1230"/>
    <mergeCell ref="C1230:E1230"/>
    <mergeCell ref="F1230:I1230"/>
    <mergeCell ref="M1230:N1230"/>
    <mergeCell ref="O1230:P1230"/>
    <mergeCell ref="Q1230:U1230"/>
    <mergeCell ref="A1229:B1229"/>
    <mergeCell ref="C1229:E1229"/>
    <mergeCell ref="F1229:I1229"/>
    <mergeCell ref="M1229:N1229"/>
    <mergeCell ref="O1229:P1229"/>
    <mergeCell ref="Q1229:U1229"/>
    <mergeCell ref="A1248:B1248"/>
    <mergeCell ref="C1248:E1248"/>
    <mergeCell ref="F1248:I1248"/>
    <mergeCell ref="M1248:N1248"/>
    <mergeCell ref="O1248:P1248"/>
    <mergeCell ref="Q1248:U1248"/>
    <mergeCell ref="A1247:B1247"/>
    <mergeCell ref="C1247:E1247"/>
    <mergeCell ref="F1247:I1247"/>
    <mergeCell ref="M1247:N1247"/>
    <mergeCell ref="O1247:P1247"/>
    <mergeCell ref="Q1247:U1247"/>
    <mergeCell ref="A1246:B1246"/>
    <mergeCell ref="C1246:E1246"/>
    <mergeCell ref="F1246:I1246"/>
    <mergeCell ref="M1246:N1246"/>
    <mergeCell ref="O1246:P1246"/>
    <mergeCell ref="Q1246:U1246"/>
    <mergeCell ref="A1244:I1244"/>
    <mergeCell ref="J1244:K1244"/>
    <mergeCell ref="L1244:N1244"/>
    <mergeCell ref="O1244:U1244"/>
    <mergeCell ref="A1245:B1245"/>
    <mergeCell ref="C1245:E1245"/>
    <mergeCell ref="F1245:I1245"/>
    <mergeCell ref="M1245:N1245"/>
    <mergeCell ref="O1245:P1245"/>
    <mergeCell ref="Q1245:U1245"/>
    <mergeCell ref="B1240:G1241"/>
    <mergeCell ref="H1240:M1240"/>
    <mergeCell ref="N1240:S1241"/>
    <mergeCell ref="T1240:W1241"/>
    <mergeCell ref="H1241:M1241"/>
    <mergeCell ref="B1242:D1242"/>
    <mergeCell ref="E1242:Q1243"/>
    <mergeCell ref="R1242:S1243"/>
    <mergeCell ref="T1242:U1243"/>
    <mergeCell ref="A1254:B1254"/>
    <mergeCell ref="C1254:E1254"/>
    <mergeCell ref="F1254:I1254"/>
    <mergeCell ref="M1254:N1254"/>
    <mergeCell ref="O1254:P1254"/>
    <mergeCell ref="Q1254:U1254"/>
    <mergeCell ref="A1253:B1253"/>
    <mergeCell ref="C1253:E1253"/>
    <mergeCell ref="F1253:I1253"/>
    <mergeCell ref="M1253:N1253"/>
    <mergeCell ref="O1253:P1253"/>
    <mergeCell ref="Q1253:U1253"/>
    <mergeCell ref="A1252:B1252"/>
    <mergeCell ref="C1252:E1252"/>
    <mergeCell ref="F1252:I1252"/>
    <mergeCell ref="M1252:N1252"/>
    <mergeCell ref="O1252:P1252"/>
    <mergeCell ref="Q1252:U1252"/>
    <mergeCell ref="A1251:B1251"/>
    <mergeCell ref="C1251:E1251"/>
    <mergeCell ref="F1251:I1251"/>
    <mergeCell ref="M1251:N1251"/>
    <mergeCell ref="O1251:P1251"/>
    <mergeCell ref="Q1251:U1251"/>
    <mergeCell ref="A1250:B1250"/>
    <mergeCell ref="C1250:E1250"/>
    <mergeCell ref="F1250:I1250"/>
    <mergeCell ref="M1250:N1250"/>
    <mergeCell ref="O1250:P1250"/>
    <mergeCell ref="Q1250:U1250"/>
    <mergeCell ref="A1249:B1249"/>
    <mergeCell ref="C1249:E1249"/>
    <mergeCell ref="F1249:I1249"/>
    <mergeCell ref="M1249:N1249"/>
    <mergeCell ref="O1249:P1249"/>
    <mergeCell ref="Q1249:U1249"/>
    <mergeCell ref="A1260:B1260"/>
    <mergeCell ref="C1260:E1260"/>
    <mergeCell ref="F1260:I1260"/>
    <mergeCell ref="M1260:N1260"/>
    <mergeCell ref="O1260:P1260"/>
    <mergeCell ref="Q1260:U1260"/>
    <mergeCell ref="A1259:B1259"/>
    <mergeCell ref="C1259:E1259"/>
    <mergeCell ref="F1259:I1259"/>
    <mergeCell ref="M1259:N1259"/>
    <mergeCell ref="O1259:P1259"/>
    <mergeCell ref="Q1259:U1259"/>
    <mergeCell ref="A1258:B1258"/>
    <mergeCell ref="C1258:E1258"/>
    <mergeCell ref="F1258:I1258"/>
    <mergeCell ref="M1258:N1258"/>
    <mergeCell ref="O1258:P1258"/>
    <mergeCell ref="Q1258:U1258"/>
    <mergeCell ref="A1257:B1257"/>
    <mergeCell ref="C1257:E1257"/>
    <mergeCell ref="F1257:I1257"/>
    <mergeCell ref="M1257:N1257"/>
    <mergeCell ref="O1257:P1257"/>
    <mergeCell ref="Q1257:U1257"/>
    <mergeCell ref="A1256:B1256"/>
    <mergeCell ref="C1256:E1256"/>
    <mergeCell ref="F1256:I1256"/>
    <mergeCell ref="M1256:N1256"/>
    <mergeCell ref="O1256:P1256"/>
    <mergeCell ref="Q1256:U1256"/>
    <mergeCell ref="A1255:B1255"/>
    <mergeCell ref="C1255:E1255"/>
    <mergeCell ref="F1255:I1255"/>
    <mergeCell ref="M1255:N1255"/>
    <mergeCell ref="O1255:P1255"/>
    <mergeCell ref="Q1255:U1255"/>
    <mergeCell ref="A1266:B1266"/>
    <mergeCell ref="C1266:E1266"/>
    <mergeCell ref="F1266:I1266"/>
    <mergeCell ref="M1266:N1266"/>
    <mergeCell ref="O1266:P1266"/>
    <mergeCell ref="Q1266:U1266"/>
    <mergeCell ref="A1265:B1265"/>
    <mergeCell ref="C1265:E1265"/>
    <mergeCell ref="F1265:I1265"/>
    <mergeCell ref="M1265:N1265"/>
    <mergeCell ref="O1265:P1265"/>
    <mergeCell ref="Q1265:U1265"/>
    <mergeCell ref="A1264:B1264"/>
    <mergeCell ref="C1264:E1264"/>
    <mergeCell ref="F1264:I1264"/>
    <mergeCell ref="M1264:N1264"/>
    <mergeCell ref="O1264:P1264"/>
    <mergeCell ref="Q1264:U1264"/>
    <mergeCell ref="A1263:B1263"/>
    <mergeCell ref="C1263:E1263"/>
    <mergeCell ref="F1263:I1263"/>
    <mergeCell ref="M1263:N1263"/>
    <mergeCell ref="O1263:P1263"/>
    <mergeCell ref="Q1263:U1263"/>
    <mergeCell ref="A1262:B1262"/>
    <mergeCell ref="C1262:E1262"/>
    <mergeCell ref="F1262:I1262"/>
    <mergeCell ref="M1262:N1262"/>
    <mergeCell ref="O1262:P1262"/>
    <mergeCell ref="Q1262:U1262"/>
    <mergeCell ref="A1261:B1261"/>
    <mergeCell ref="C1261:E1261"/>
    <mergeCell ref="F1261:I1261"/>
    <mergeCell ref="M1261:N1261"/>
    <mergeCell ref="O1261:P1261"/>
    <mergeCell ref="Q1261:U1261"/>
    <mergeCell ref="A1279:I1279"/>
    <mergeCell ref="J1279:K1279"/>
    <mergeCell ref="L1279:N1279"/>
    <mergeCell ref="O1279:U1279"/>
    <mergeCell ref="A1280:B1280"/>
    <mergeCell ref="C1280:E1280"/>
    <mergeCell ref="F1280:I1280"/>
    <mergeCell ref="M1280:N1280"/>
    <mergeCell ref="O1280:P1280"/>
    <mergeCell ref="Q1280:U1280"/>
    <mergeCell ref="B1275:G1276"/>
    <mergeCell ref="H1275:M1275"/>
    <mergeCell ref="N1275:S1276"/>
    <mergeCell ref="T1275:W1276"/>
    <mergeCell ref="H1276:M1276"/>
    <mergeCell ref="B1277:D1277"/>
    <mergeCell ref="E1277:Q1278"/>
    <mergeCell ref="R1277:S1278"/>
    <mergeCell ref="T1277:U1278"/>
    <mergeCell ref="S1270:W1270"/>
    <mergeCell ref="C1271:T1271"/>
    <mergeCell ref="A1272:F1274"/>
    <mergeCell ref="G1272:T1272"/>
    <mergeCell ref="G1273:R1273"/>
    <mergeCell ref="G1274:Q1274"/>
    <mergeCell ref="A1268:B1268"/>
    <mergeCell ref="C1268:E1268"/>
    <mergeCell ref="F1268:I1268"/>
    <mergeCell ref="M1268:N1268"/>
    <mergeCell ref="O1268:P1268"/>
    <mergeCell ref="Q1268:U1268"/>
    <mergeCell ref="A1267:B1267"/>
    <mergeCell ref="C1267:E1267"/>
    <mergeCell ref="F1267:I1267"/>
    <mergeCell ref="M1267:N1267"/>
    <mergeCell ref="O1267:P1267"/>
    <mergeCell ref="Q1267:U1267"/>
    <mergeCell ref="A1286:B1286"/>
    <mergeCell ref="C1286:E1286"/>
    <mergeCell ref="F1286:I1286"/>
    <mergeCell ref="M1286:N1286"/>
    <mergeCell ref="O1286:P1286"/>
    <mergeCell ref="Q1286:U1286"/>
    <mergeCell ref="A1285:B1285"/>
    <mergeCell ref="C1285:E1285"/>
    <mergeCell ref="F1285:I1285"/>
    <mergeCell ref="M1285:N1285"/>
    <mergeCell ref="O1285:P1285"/>
    <mergeCell ref="Q1285:U1285"/>
    <mergeCell ref="A1284:B1284"/>
    <mergeCell ref="C1284:E1284"/>
    <mergeCell ref="F1284:I1284"/>
    <mergeCell ref="M1284:N1284"/>
    <mergeCell ref="O1284:P1284"/>
    <mergeCell ref="Q1284:U1284"/>
    <mergeCell ref="A1283:B1283"/>
    <mergeCell ref="C1283:E1283"/>
    <mergeCell ref="F1283:I1283"/>
    <mergeCell ref="M1283:N1283"/>
    <mergeCell ref="O1283:P1283"/>
    <mergeCell ref="Q1283:U1283"/>
    <mergeCell ref="A1282:B1282"/>
    <mergeCell ref="C1282:E1282"/>
    <mergeCell ref="F1282:I1282"/>
    <mergeCell ref="M1282:N1282"/>
    <mergeCell ref="O1282:P1282"/>
    <mergeCell ref="Q1282:U1282"/>
    <mergeCell ref="A1281:B1281"/>
    <mergeCell ref="C1281:E1281"/>
    <mergeCell ref="F1281:I1281"/>
    <mergeCell ref="M1281:N1281"/>
    <mergeCell ref="O1281:P1281"/>
    <mergeCell ref="Q1281:U1281"/>
    <mergeCell ref="A1292:B1292"/>
    <mergeCell ref="C1292:E1292"/>
    <mergeCell ref="F1292:I1292"/>
    <mergeCell ref="M1292:N1292"/>
    <mergeCell ref="O1292:P1292"/>
    <mergeCell ref="Q1292:U1292"/>
    <mergeCell ref="A1291:B1291"/>
    <mergeCell ref="C1291:E1291"/>
    <mergeCell ref="F1291:I1291"/>
    <mergeCell ref="M1291:N1291"/>
    <mergeCell ref="O1291:P1291"/>
    <mergeCell ref="Q1291:U1291"/>
    <mergeCell ref="A1290:B1290"/>
    <mergeCell ref="C1290:E1290"/>
    <mergeCell ref="F1290:I1290"/>
    <mergeCell ref="M1290:N1290"/>
    <mergeCell ref="O1290:P1290"/>
    <mergeCell ref="Q1290:U1290"/>
    <mergeCell ref="A1289:B1289"/>
    <mergeCell ref="C1289:E1289"/>
    <mergeCell ref="F1289:I1289"/>
    <mergeCell ref="M1289:N1289"/>
    <mergeCell ref="O1289:P1289"/>
    <mergeCell ref="Q1289:U1289"/>
    <mergeCell ref="A1288:B1288"/>
    <mergeCell ref="C1288:E1288"/>
    <mergeCell ref="F1288:I1288"/>
    <mergeCell ref="M1288:N1288"/>
    <mergeCell ref="O1288:P1288"/>
    <mergeCell ref="Q1288:U1288"/>
    <mergeCell ref="A1287:B1287"/>
    <mergeCell ref="C1287:E1287"/>
    <mergeCell ref="F1287:I1287"/>
    <mergeCell ref="M1287:N1287"/>
    <mergeCell ref="O1287:P1287"/>
    <mergeCell ref="Q1287:U1287"/>
    <mergeCell ref="A1298:B1298"/>
    <mergeCell ref="C1298:E1298"/>
    <mergeCell ref="F1298:I1298"/>
    <mergeCell ref="M1298:N1298"/>
    <mergeCell ref="O1298:P1298"/>
    <mergeCell ref="Q1298:U1298"/>
    <mergeCell ref="A1297:B1297"/>
    <mergeCell ref="C1297:E1297"/>
    <mergeCell ref="F1297:I1297"/>
    <mergeCell ref="M1297:N1297"/>
    <mergeCell ref="O1297:P1297"/>
    <mergeCell ref="Q1297:U1297"/>
    <mergeCell ref="A1296:B1296"/>
    <mergeCell ref="C1296:E1296"/>
    <mergeCell ref="F1296:I1296"/>
    <mergeCell ref="M1296:N1296"/>
    <mergeCell ref="O1296:P1296"/>
    <mergeCell ref="Q1296:U1296"/>
    <mergeCell ref="A1295:B1295"/>
    <mergeCell ref="C1295:E1295"/>
    <mergeCell ref="F1295:I1295"/>
    <mergeCell ref="M1295:N1295"/>
    <mergeCell ref="O1295:P1295"/>
    <mergeCell ref="Q1295:U1295"/>
    <mergeCell ref="A1294:B1294"/>
    <mergeCell ref="C1294:E1294"/>
    <mergeCell ref="F1294:I1294"/>
    <mergeCell ref="M1294:N1294"/>
    <mergeCell ref="O1294:P1294"/>
    <mergeCell ref="Q1294:U1294"/>
    <mergeCell ref="A1293:B1293"/>
    <mergeCell ref="C1293:E1293"/>
    <mergeCell ref="F1293:I1293"/>
    <mergeCell ref="M1293:N1293"/>
    <mergeCell ref="O1293:P1293"/>
    <mergeCell ref="Q1293:U1293"/>
    <mergeCell ref="S1305:W1305"/>
    <mergeCell ref="C1306:T1306"/>
    <mergeCell ref="A1307:F1309"/>
    <mergeCell ref="G1307:T1307"/>
    <mergeCell ref="G1308:R1308"/>
    <mergeCell ref="G1309:Q1309"/>
    <mergeCell ref="A1303:B1303"/>
    <mergeCell ref="C1303:E1303"/>
    <mergeCell ref="F1303:I1303"/>
    <mergeCell ref="M1303:N1303"/>
    <mergeCell ref="O1303:P1303"/>
    <mergeCell ref="Q1303:U1303"/>
    <mergeCell ref="A1302:B1302"/>
    <mergeCell ref="C1302:E1302"/>
    <mergeCell ref="F1302:I1302"/>
    <mergeCell ref="M1302:N1302"/>
    <mergeCell ref="O1302:P1302"/>
    <mergeCell ref="Q1302:U1302"/>
    <mergeCell ref="A1301:B1301"/>
    <mergeCell ref="C1301:E1301"/>
    <mergeCell ref="F1301:I1301"/>
    <mergeCell ref="M1301:N1301"/>
    <mergeCell ref="O1301:P1301"/>
    <mergeCell ref="Q1301:U1301"/>
    <mergeCell ref="A1300:B1300"/>
    <mergeCell ref="C1300:E1300"/>
    <mergeCell ref="F1300:I1300"/>
    <mergeCell ref="M1300:N1300"/>
    <mergeCell ref="O1300:P1300"/>
    <mergeCell ref="Q1300:U1300"/>
    <mergeCell ref="A1299:B1299"/>
    <mergeCell ref="C1299:E1299"/>
    <mergeCell ref="F1299:I1299"/>
    <mergeCell ref="M1299:N1299"/>
    <mergeCell ref="O1299:P1299"/>
    <mergeCell ref="Q1299:U1299"/>
    <mergeCell ref="A1318:B1318"/>
    <mergeCell ref="C1318:E1318"/>
    <mergeCell ref="F1318:I1318"/>
    <mergeCell ref="M1318:N1318"/>
    <mergeCell ref="O1318:P1318"/>
    <mergeCell ref="Q1318:U1318"/>
    <mergeCell ref="A1317:B1317"/>
    <mergeCell ref="C1317:E1317"/>
    <mergeCell ref="F1317:I1317"/>
    <mergeCell ref="M1317:N1317"/>
    <mergeCell ref="O1317:P1317"/>
    <mergeCell ref="Q1317:U1317"/>
    <mergeCell ref="A1316:B1316"/>
    <mergeCell ref="C1316:E1316"/>
    <mergeCell ref="F1316:I1316"/>
    <mergeCell ref="M1316:N1316"/>
    <mergeCell ref="O1316:P1316"/>
    <mergeCell ref="Q1316:U1316"/>
    <mergeCell ref="A1314:I1314"/>
    <mergeCell ref="J1314:K1314"/>
    <mergeCell ref="L1314:N1314"/>
    <mergeCell ref="O1314:U1314"/>
    <mergeCell ref="A1315:B1315"/>
    <mergeCell ref="C1315:E1315"/>
    <mergeCell ref="F1315:I1315"/>
    <mergeCell ref="M1315:N1315"/>
    <mergeCell ref="O1315:P1315"/>
    <mergeCell ref="Q1315:U1315"/>
    <mergeCell ref="B1310:G1311"/>
    <mergeCell ref="H1310:M1310"/>
    <mergeCell ref="N1310:S1311"/>
    <mergeCell ref="T1310:W1311"/>
    <mergeCell ref="H1311:M1311"/>
    <mergeCell ref="B1312:D1312"/>
    <mergeCell ref="E1312:Q1313"/>
    <mergeCell ref="R1312:S1313"/>
    <mergeCell ref="T1312:U1313"/>
    <mergeCell ref="A1324:B1324"/>
    <mergeCell ref="C1324:E1324"/>
    <mergeCell ref="F1324:I1324"/>
    <mergeCell ref="M1324:N1324"/>
    <mergeCell ref="O1324:P1324"/>
    <mergeCell ref="Q1324:U1324"/>
    <mergeCell ref="A1323:B1323"/>
    <mergeCell ref="C1323:E1323"/>
    <mergeCell ref="F1323:I1323"/>
    <mergeCell ref="M1323:N1323"/>
    <mergeCell ref="O1323:P1323"/>
    <mergeCell ref="Q1323:U1323"/>
    <mergeCell ref="A1322:B1322"/>
    <mergeCell ref="C1322:E1322"/>
    <mergeCell ref="F1322:I1322"/>
    <mergeCell ref="M1322:N1322"/>
    <mergeCell ref="O1322:P1322"/>
    <mergeCell ref="Q1322:U1322"/>
    <mergeCell ref="A1321:B1321"/>
    <mergeCell ref="C1321:E1321"/>
    <mergeCell ref="F1321:I1321"/>
    <mergeCell ref="M1321:N1321"/>
    <mergeCell ref="O1321:P1321"/>
    <mergeCell ref="Q1321:U1321"/>
    <mergeCell ref="A1320:B1320"/>
    <mergeCell ref="C1320:E1320"/>
    <mergeCell ref="F1320:I1320"/>
    <mergeCell ref="M1320:N1320"/>
    <mergeCell ref="O1320:P1320"/>
    <mergeCell ref="Q1320:U1320"/>
    <mergeCell ref="A1319:B1319"/>
    <mergeCell ref="C1319:E1319"/>
    <mergeCell ref="F1319:I1319"/>
    <mergeCell ref="M1319:N1319"/>
    <mergeCell ref="O1319:P1319"/>
    <mergeCell ref="Q1319:U1319"/>
    <mergeCell ref="A1330:B1330"/>
    <mergeCell ref="C1330:E1330"/>
    <mergeCell ref="F1330:I1330"/>
    <mergeCell ref="M1330:N1330"/>
    <mergeCell ref="O1330:P1330"/>
    <mergeCell ref="Q1330:U1330"/>
    <mergeCell ref="A1329:B1329"/>
    <mergeCell ref="C1329:E1329"/>
    <mergeCell ref="F1329:I1329"/>
    <mergeCell ref="M1329:N1329"/>
    <mergeCell ref="O1329:P1329"/>
    <mergeCell ref="Q1329:U1329"/>
    <mergeCell ref="A1328:B1328"/>
    <mergeCell ref="C1328:E1328"/>
    <mergeCell ref="F1328:I1328"/>
    <mergeCell ref="M1328:N1328"/>
    <mergeCell ref="O1328:P1328"/>
    <mergeCell ref="Q1328:U1328"/>
    <mergeCell ref="A1327:B1327"/>
    <mergeCell ref="C1327:E1327"/>
    <mergeCell ref="F1327:I1327"/>
    <mergeCell ref="M1327:N1327"/>
    <mergeCell ref="O1327:P1327"/>
    <mergeCell ref="Q1327:U1327"/>
    <mergeCell ref="A1326:B1326"/>
    <mergeCell ref="C1326:E1326"/>
    <mergeCell ref="F1326:I1326"/>
    <mergeCell ref="M1326:N1326"/>
    <mergeCell ref="O1326:P1326"/>
    <mergeCell ref="Q1326:U1326"/>
    <mergeCell ref="A1325:B1325"/>
    <mergeCell ref="C1325:E1325"/>
    <mergeCell ref="F1325:I1325"/>
    <mergeCell ref="M1325:N1325"/>
    <mergeCell ref="O1325:P1325"/>
    <mergeCell ref="Q1325:U1325"/>
    <mergeCell ref="A1336:B1336"/>
    <mergeCell ref="C1336:E1336"/>
    <mergeCell ref="F1336:I1336"/>
    <mergeCell ref="M1336:N1336"/>
    <mergeCell ref="O1336:P1336"/>
    <mergeCell ref="Q1336:U1336"/>
    <mergeCell ref="A1335:B1335"/>
    <mergeCell ref="C1335:E1335"/>
    <mergeCell ref="F1335:I1335"/>
    <mergeCell ref="M1335:N1335"/>
    <mergeCell ref="O1335:P1335"/>
    <mergeCell ref="Q1335:U1335"/>
    <mergeCell ref="A1334:B1334"/>
    <mergeCell ref="C1334:E1334"/>
    <mergeCell ref="F1334:I1334"/>
    <mergeCell ref="M1334:N1334"/>
    <mergeCell ref="O1334:P1334"/>
    <mergeCell ref="Q1334:U1334"/>
    <mergeCell ref="A1333:B1333"/>
    <mergeCell ref="C1333:E1333"/>
    <mergeCell ref="F1333:I1333"/>
    <mergeCell ref="M1333:N1333"/>
    <mergeCell ref="O1333:P1333"/>
    <mergeCell ref="Q1333:U1333"/>
    <mergeCell ref="A1332:B1332"/>
    <mergeCell ref="C1332:E1332"/>
    <mergeCell ref="F1332:I1332"/>
    <mergeCell ref="M1332:N1332"/>
    <mergeCell ref="O1332:P1332"/>
    <mergeCell ref="Q1332:U1332"/>
    <mergeCell ref="A1331:B1331"/>
    <mergeCell ref="C1331:E1331"/>
    <mergeCell ref="F1331:I1331"/>
    <mergeCell ref="M1331:N1331"/>
    <mergeCell ref="O1331:P1331"/>
    <mergeCell ref="Q1331:U1331"/>
    <mergeCell ref="A1349:I1349"/>
    <mergeCell ref="J1349:K1349"/>
    <mergeCell ref="L1349:N1349"/>
    <mergeCell ref="O1349:U1349"/>
    <mergeCell ref="A1350:B1350"/>
    <mergeCell ref="C1350:E1350"/>
    <mergeCell ref="F1350:I1350"/>
    <mergeCell ref="M1350:N1350"/>
    <mergeCell ref="O1350:P1350"/>
    <mergeCell ref="Q1350:U1350"/>
    <mergeCell ref="B1345:G1346"/>
    <mergeCell ref="H1345:M1345"/>
    <mergeCell ref="N1345:S1346"/>
    <mergeCell ref="T1345:W1346"/>
    <mergeCell ref="H1346:M1346"/>
    <mergeCell ref="B1347:D1347"/>
    <mergeCell ref="E1347:Q1348"/>
    <mergeCell ref="R1347:S1348"/>
    <mergeCell ref="T1347:U1348"/>
    <mergeCell ref="S1340:W1340"/>
    <mergeCell ref="C1341:T1341"/>
    <mergeCell ref="A1342:F1344"/>
    <mergeCell ref="G1342:T1342"/>
    <mergeCell ref="G1343:R1343"/>
    <mergeCell ref="G1344:Q1344"/>
    <mergeCell ref="A1338:B1338"/>
    <mergeCell ref="C1338:E1338"/>
    <mergeCell ref="F1338:I1338"/>
    <mergeCell ref="M1338:N1338"/>
    <mergeCell ref="O1338:P1338"/>
    <mergeCell ref="Q1338:U1338"/>
    <mergeCell ref="A1337:B1337"/>
    <mergeCell ref="C1337:E1337"/>
    <mergeCell ref="F1337:I1337"/>
    <mergeCell ref="M1337:N1337"/>
    <mergeCell ref="O1337:P1337"/>
    <mergeCell ref="Q1337:U1337"/>
    <mergeCell ref="A1356:B1356"/>
    <mergeCell ref="C1356:E1356"/>
    <mergeCell ref="F1356:I1356"/>
    <mergeCell ref="M1356:N1356"/>
    <mergeCell ref="O1356:P1356"/>
    <mergeCell ref="Q1356:U1356"/>
    <mergeCell ref="A1355:B1355"/>
    <mergeCell ref="C1355:E1355"/>
    <mergeCell ref="F1355:I1355"/>
    <mergeCell ref="M1355:N1355"/>
    <mergeCell ref="O1355:P1355"/>
    <mergeCell ref="Q1355:U1355"/>
    <mergeCell ref="A1354:B1354"/>
    <mergeCell ref="C1354:E1354"/>
    <mergeCell ref="F1354:I1354"/>
    <mergeCell ref="M1354:N1354"/>
    <mergeCell ref="O1354:P1354"/>
    <mergeCell ref="Q1354:U1354"/>
    <mergeCell ref="A1353:B1353"/>
    <mergeCell ref="C1353:E1353"/>
    <mergeCell ref="F1353:I1353"/>
    <mergeCell ref="M1353:N1353"/>
    <mergeCell ref="O1353:P1353"/>
    <mergeCell ref="Q1353:U1353"/>
    <mergeCell ref="A1352:B1352"/>
    <mergeCell ref="C1352:E1352"/>
    <mergeCell ref="F1352:I1352"/>
    <mergeCell ref="M1352:N1352"/>
    <mergeCell ref="O1352:P1352"/>
    <mergeCell ref="Q1352:U1352"/>
    <mergeCell ref="A1351:B1351"/>
    <mergeCell ref="C1351:E1351"/>
    <mergeCell ref="F1351:I1351"/>
    <mergeCell ref="M1351:N1351"/>
    <mergeCell ref="O1351:P1351"/>
    <mergeCell ref="Q1351:U1351"/>
    <mergeCell ref="A1362:B1362"/>
    <mergeCell ref="C1362:E1362"/>
    <mergeCell ref="F1362:I1362"/>
    <mergeCell ref="M1362:N1362"/>
    <mergeCell ref="O1362:P1362"/>
    <mergeCell ref="Q1362:U1362"/>
    <mergeCell ref="A1361:B1361"/>
    <mergeCell ref="C1361:E1361"/>
    <mergeCell ref="F1361:I1361"/>
    <mergeCell ref="M1361:N1361"/>
    <mergeCell ref="O1361:P1361"/>
    <mergeCell ref="Q1361:U1361"/>
    <mergeCell ref="A1360:B1360"/>
    <mergeCell ref="C1360:E1360"/>
    <mergeCell ref="F1360:I1360"/>
    <mergeCell ref="M1360:N1360"/>
    <mergeCell ref="O1360:P1360"/>
    <mergeCell ref="Q1360:U1360"/>
    <mergeCell ref="A1359:B1359"/>
    <mergeCell ref="C1359:E1359"/>
    <mergeCell ref="F1359:I1359"/>
    <mergeCell ref="M1359:N1359"/>
    <mergeCell ref="O1359:P1359"/>
    <mergeCell ref="Q1359:U1359"/>
    <mergeCell ref="A1358:B1358"/>
    <mergeCell ref="C1358:E1358"/>
    <mergeCell ref="F1358:I1358"/>
    <mergeCell ref="M1358:N1358"/>
    <mergeCell ref="O1358:P1358"/>
    <mergeCell ref="Q1358:U1358"/>
    <mergeCell ref="A1357:B1357"/>
    <mergeCell ref="C1357:E1357"/>
    <mergeCell ref="F1357:I1357"/>
    <mergeCell ref="M1357:N1357"/>
    <mergeCell ref="O1357:P1357"/>
    <mergeCell ref="Q1357:U1357"/>
    <mergeCell ref="A1368:B1368"/>
    <mergeCell ref="C1368:E1368"/>
    <mergeCell ref="F1368:I1368"/>
    <mergeCell ref="M1368:N1368"/>
    <mergeCell ref="O1368:P1368"/>
    <mergeCell ref="Q1368:U1368"/>
    <mergeCell ref="A1367:B1367"/>
    <mergeCell ref="C1367:E1367"/>
    <mergeCell ref="F1367:I1367"/>
    <mergeCell ref="M1367:N1367"/>
    <mergeCell ref="O1367:P1367"/>
    <mergeCell ref="Q1367:U1367"/>
    <mergeCell ref="A1366:B1366"/>
    <mergeCell ref="C1366:E1366"/>
    <mergeCell ref="F1366:I1366"/>
    <mergeCell ref="M1366:N1366"/>
    <mergeCell ref="O1366:P1366"/>
    <mergeCell ref="Q1366:U1366"/>
    <mergeCell ref="A1365:B1365"/>
    <mergeCell ref="C1365:E1365"/>
    <mergeCell ref="F1365:I1365"/>
    <mergeCell ref="M1365:N1365"/>
    <mergeCell ref="O1365:P1365"/>
    <mergeCell ref="Q1365:U1365"/>
    <mergeCell ref="A1364:B1364"/>
    <mergeCell ref="C1364:E1364"/>
    <mergeCell ref="F1364:I1364"/>
    <mergeCell ref="M1364:N1364"/>
    <mergeCell ref="O1364:P1364"/>
    <mergeCell ref="Q1364:U1364"/>
    <mergeCell ref="A1363:B1363"/>
    <mergeCell ref="C1363:E1363"/>
    <mergeCell ref="F1363:I1363"/>
    <mergeCell ref="M1363:N1363"/>
    <mergeCell ref="O1363:P1363"/>
    <mergeCell ref="Q1363:U1363"/>
    <mergeCell ref="S1375:W1375"/>
    <mergeCell ref="C1376:T1376"/>
    <mergeCell ref="A1377:F1379"/>
    <mergeCell ref="G1377:T1377"/>
    <mergeCell ref="G1378:R1378"/>
    <mergeCell ref="G1379:Q1379"/>
    <mergeCell ref="A1373:B1373"/>
    <mergeCell ref="C1373:E1373"/>
    <mergeCell ref="F1373:I1373"/>
    <mergeCell ref="M1373:N1373"/>
    <mergeCell ref="O1373:P1373"/>
    <mergeCell ref="Q1373:U1373"/>
    <mergeCell ref="A1372:B1372"/>
    <mergeCell ref="C1372:E1372"/>
    <mergeCell ref="F1372:I1372"/>
    <mergeCell ref="M1372:N1372"/>
    <mergeCell ref="O1372:P1372"/>
    <mergeCell ref="Q1372:U1372"/>
    <mergeCell ref="A1371:B1371"/>
    <mergeCell ref="C1371:E1371"/>
    <mergeCell ref="F1371:I1371"/>
    <mergeCell ref="M1371:N1371"/>
    <mergeCell ref="O1371:P1371"/>
    <mergeCell ref="Q1371:U1371"/>
    <mergeCell ref="A1370:B1370"/>
    <mergeCell ref="C1370:E1370"/>
    <mergeCell ref="F1370:I1370"/>
    <mergeCell ref="M1370:N1370"/>
    <mergeCell ref="O1370:P1370"/>
    <mergeCell ref="Q1370:U1370"/>
    <mergeCell ref="A1369:B1369"/>
    <mergeCell ref="C1369:E1369"/>
    <mergeCell ref="F1369:I1369"/>
    <mergeCell ref="M1369:N1369"/>
    <mergeCell ref="O1369:P1369"/>
    <mergeCell ref="Q1369:U1369"/>
    <mergeCell ref="A1388:B1388"/>
    <mergeCell ref="C1388:E1388"/>
    <mergeCell ref="F1388:I1388"/>
    <mergeCell ref="M1388:N1388"/>
    <mergeCell ref="O1388:P1388"/>
    <mergeCell ref="Q1388:U1388"/>
    <mergeCell ref="A1387:B1387"/>
    <mergeCell ref="C1387:E1387"/>
    <mergeCell ref="F1387:I1387"/>
    <mergeCell ref="M1387:N1387"/>
    <mergeCell ref="O1387:P1387"/>
    <mergeCell ref="Q1387:U1387"/>
    <mergeCell ref="A1386:B1386"/>
    <mergeCell ref="C1386:E1386"/>
    <mergeCell ref="F1386:I1386"/>
    <mergeCell ref="M1386:N1386"/>
    <mergeCell ref="O1386:P1386"/>
    <mergeCell ref="Q1386:U1386"/>
    <mergeCell ref="A1384:I1384"/>
    <mergeCell ref="J1384:K1384"/>
    <mergeCell ref="L1384:N1384"/>
    <mergeCell ref="O1384:U1384"/>
    <mergeCell ref="A1385:B1385"/>
    <mergeCell ref="C1385:E1385"/>
    <mergeCell ref="F1385:I1385"/>
    <mergeCell ref="M1385:N1385"/>
    <mergeCell ref="O1385:P1385"/>
    <mergeCell ref="Q1385:U1385"/>
    <mergeCell ref="B1380:G1381"/>
    <mergeCell ref="H1380:M1380"/>
    <mergeCell ref="N1380:S1381"/>
    <mergeCell ref="T1380:W1381"/>
    <mergeCell ref="H1381:M1381"/>
    <mergeCell ref="B1382:D1382"/>
    <mergeCell ref="E1382:Q1383"/>
    <mergeCell ref="R1382:S1383"/>
    <mergeCell ref="T1382:U1383"/>
    <mergeCell ref="A1394:B1394"/>
    <mergeCell ref="C1394:E1394"/>
    <mergeCell ref="F1394:I1394"/>
    <mergeCell ref="M1394:N1394"/>
    <mergeCell ref="O1394:P1394"/>
    <mergeCell ref="Q1394:U1394"/>
    <mergeCell ref="A1393:B1393"/>
    <mergeCell ref="C1393:E1393"/>
    <mergeCell ref="F1393:I1393"/>
    <mergeCell ref="M1393:N1393"/>
    <mergeCell ref="O1393:P1393"/>
    <mergeCell ref="Q1393:U1393"/>
    <mergeCell ref="A1392:B1392"/>
    <mergeCell ref="C1392:E1392"/>
    <mergeCell ref="F1392:I1392"/>
    <mergeCell ref="M1392:N1392"/>
    <mergeCell ref="O1392:P1392"/>
    <mergeCell ref="Q1392:U1392"/>
    <mergeCell ref="A1391:B1391"/>
    <mergeCell ref="C1391:E1391"/>
    <mergeCell ref="F1391:I1391"/>
    <mergeCell ref="M1391:N1391"/>
    <mergeCell ref="O1391:P1391"/>
    <mergeCell ref="Q1391:U1391"/>
    <mergeCell ref="A1390:B1390"/>
    <mergeCell ref="C1390:E1390"/>
    <mergeCell ref="F1390:I1390"/>
    <mergeCell ref="M1390:N1390"/>
    <mergeCell ref="O1390:P1390"/>
    <mergeCell ref="Q1390:U1390"/>
    <mergeCell ref="A1389:B1389"/>
    <mergeCell ref="C1389:E1389"/>
    <mergeCell ref="F1389:I1389"/>
    <mergeCell ref="M1389:N1389"/>
    <mergeCell ref="O1389:P1389"/>
    <mergeCell ref="Q1389:U1389"/>
    <mergeCell ref="A1400:B1400"/>
    <mergeCell ref="C1400:E1400"/>
    <mergeCell ref="F1400:I1400"/>
    <mergeCell ref="M1400:N1400"/>
    <mergeCell ref="O1400:P1400"/>
    <mergeCell ref="Q1400:U1400"/>
    <mergeCell ref="A1399:B1399"/>
    <mergeCell ref="C1399:E1399"/>
    <mergeCell ref="F1399:I1399"/>
    <mergeCell ref="M1399:N1399"/>
    <mergeCell ref="O1399:P1399"/>
    <mergeCell ref="Q1399:U1399"/>
    <mergeCell ref="A1398:B1398"/>
    <mergeCell ref="C1398:E1398"/>
    <mergeCell ref="F1398:I1398"/>
    <mergeCell ref="M1398:N1398"/>
    <mergeCell ref="O1398:P1398"/>
    <mergeCell ref="Q1398:U1398"/>
    <mergeCell ref="A1397:B1397"/>
    <mergeCell ref="C1397:E1397"/>
    <mergeCell ref="F1397:I1397"/>
    <mergeCell ref="M1397:N1397"/>
    <mergeCell ref="O1397:P1397"/>
    <mergeCell ref="Q1397:U1397"/>
    <mergeCell ref="A1396:B1396"/>
    <mergeCell ref="C1396:E1396"/>
    <mergeCell ref="F1396:I1396"/>
    <mergeCell ref="M1396:N1396"/>
    <mergeCell ref="O1396:P1396"/>
    <mergeCell ref="Q1396:U1396"/>
    <mergeCell ref="A1395:B1395"/>
    <mergeCell ref="C1395:E1395"/>
    <mergeCell ref="F1395:I1395"/>
    <mergeCell ref="M1395:N1395"/>
    <mergeCell ref="O1395:P1395"/>
    <mergeCell ref="Q1395:U1395"/>
    <mergeCell ref="A1406:B1406"/>
    <mergeCell ref="C1406:E1406"/>
    <mergeCell ref="F1406:I1406"/>
    <mergeCell ref="M1406:N1406"/>
    <mergeCell ref="O1406:P1406"/>
    <mergeCell ref="Q1406:U1406"/>
    <mergeCell ref="A1405:B1405"/>
    <mergeCell ref="C1405:E1405"/>
    <mergeCell ref="F1405:I1405"/>
    <mergeCell ref="M1405:N1405"/>
    <mergeCell ref="O1405:P1405"/>
    <mergeCell ref="Q1405:U1405"/>
    <mergeCell ref="A1404:B1404"/>
    <mergeCell ref="C1404:E1404"/>
    <mergeCell ref="F1404:I1404"/>
    <mergeCell ref="M1404:N1404"/>
    <mergeCell ref="O1404:P1404"/>
    <mergeCell ref="Q1404:U1404"/>
    <mergeCell ref="A1403:B1403"/>
    <mergeCell ref="C1403:E1403"/>
    <mergeCell ref="F1403:I1403"/>
    <mergeCell ref="M1403:N1403"/>
    <mergeCell ref="O1403:P1403"/>
    <mergeCell ref="Q1403:U1403"/>
    <mergeCell ref="A1402:B1402"/>
    <mergeCell ref="C1402:E1402"/>
    <mergeCell ref="F1402:I1402"/>
    <mergeCell ref="M1402:N1402"/>
    <mergeCell ref="O1402:P1402"/>
    <mergeCell ref="Q1402:U1402"/>
    <mergeCell ref="A1401:B1401"/>
    <mergeCell ref="C1401:E1401"/>
    <mergeCell ref="F1401:I1401"/>
    <mergeCell ref="M1401:N1401"/>
    <mergeCell ref="O1401:P1401"/>
    <mergeCell ref="Q1401:U1401"/>
    <mergeCell ref="A1419:I1419"/>
    <mergeCell ref="J1419:K1419"/>
    <mergeCell ref="L1419:N1419"/>
    <mergeCell ref="O1419:U1419"/>
    <mergeCell ref="A1420:B1420"/>
    <mergeCell ref="C1420:E1420"/>
    <mergeCell ref="F1420:I1420"/>
    <mergeCell ref="M1420:N1420"/>
    <mergeCell ref="O1420:P1420"/>
    <mergeCell ref="Q1420:U1420"/>
    <mergeCell ref="B1415:G1416"/>
    <mergeCell ref="H1415:M1415"/>
    <mergeCell ref="N1415:S1416"/>
    <mergeCell ref="T1415:W1416"/>
    <mergeCell ref="H1416:M1416"/>
    <mergeCell ref="B1417:D1417"/>
    <mergeCell ref="E1417:Q1418"/>
    <mergeCell ref="R1417:S1418"/>
    <mergeCell ref="T1417:U1418"/>
    <mergeCell ref="S1410:W1410"/>
    <mergeCell ref="C1411:T1411"/>
    <mergeCell ref="A1412:F1414"/>
    <mergeCell ref="G1412:T1412"/>
    <mergeCell ref="G1413:R1413"/>
    <mergeCell ref="G1414:Q1414"/>
    <mergeCell ref="A1408:B1408"/>
    <mergeCell ref="C1408:E1408"/>
    <mergeCell ref="F1408:I1408"/>
    <mergeCell ref="M1408:N1408"/>
    <mergeCell ref="O1408:P1408"/>
    <mergeCell ref="Q1408:U1408"/>
    <mergeCell ref="A1407:B1407"/>
    <mergeCell ref="C1407:E1407"/>
    <mergeCell ref="F1407:I1407"/>
    <mergeCell ref="M1407:N1407"/>
    <mergeCell ref="O1407:P1407"/>
    <mergeCell ref="Q1407:U1407"/>
    <mergeCell ref="A1426:B1426"/>
    <mergeCell ref="C1426:E1426"/>
    <mergeCell ref="F1426:I1426"/>
    <mergeCell ref="M1426:N1426"/>
    <mergeCell ref="O1426:P1426"/>
    <mergeCell ref="Q1426:U1426"/>
    <mergeCell ref="A1425:B1425"/>
    <mergeCell ref="C1425:E1425"/>
    <mergeCell ref="F1425:I1425"/>
    <mergeCell ref="M1425:N1425"/>
    <mergeCell ref="O1425:P1425"/>
    <mergeCell ref="Q1425:U1425"/>
    <mergeCell ref="A1424:B1424"/>
    <mergeCell ref="C1424:E1424"/>
    <mergeCell ref="F1424:I1424"/>
    <mergeCell ref="M1424:N1424"/>
    <mergeCell ref="O1424:P1424"/>
    <mergeCell ref="Q1424:U1424"/>
    <mergeCell ref="A1423:B1423"/>
    <mergeCell ref="C1423:E1423"/>
    <mergeCell ref="F1423:I1423"/>
    <mergeCell ref="M1423:N1423"/>
    <mergeCell ref="O1423:P1423"/>
    <mergeCell ref="Q1423:U1423"/>
    <mergeCell ref="A1422:B1422"/>
    <mergeCell ref="C1422:E1422"/>
    <mergeCell ref="F1422:I1422"/>
    <mergeCell ref="M1422:N1422"/>
    <mergeCell ref="O1422:P1422"/>
    <mergeCell ref="Q1422:U1422"/>
    <mergeCell ref="A1421:B1421"/>
    <mergeCell ref="C1421:E1421"/>
    <mergeCell ref="F1421:I1421"/>
    <mergeCell ref="M1421:N1421"/>
    <mergeCell ref="O1421:P1421"/>
    <mergeCell ref="Q1421:U1421"/>
    <mergeCell ref="A1432:B1432"/>
    <mergeCell ref="C1432:E1432"/>
    <mergeCell ref="F1432:I1432"/>
    <mergeCell ref="M1432:N1432"/>
    <mergeCell ref="O1432:P1432"/>
    <mergeCell ref="Q1432:U1432"/>
    <mergeCell ref="A1431:B1431"/>
    <mergeCell ref="C1431:E1431"/>
    <mergeCell ref="F1431:I1431"/>
    <mergeCell ref="M1431:N1431"/>
    <mergeCell ref="O1431:P1431"/>
    <mergeCell ref="Q1431:U1431"/>
    <mergeCell ref="A1430:B1430"/>
    <mergeCell ref="C1430:E1430"/>
    <mergeCell ref="F1430:I1430"/>
    <mergeCell ref="M1430:N1430"/>
    <mergeCell ref="O1430:P1430"/>
    <mergeCell ref="Q1430:U1430"/>
    <mergeCell ref="A1429:B1429"/>
    <mergeCell ref="C1429:E1429"/>
    <mergeCell ref="F1429:I1429"/>
    <mergeCell ref="M1429:N1429"/>
    <mergeCell ref="O1429:P1429"/>
    <mergeCell ref="Q1429:U1429"/>
    <mergeCell ref="A1428:B1428"/>
    <mergeCell ref="C1428:E1428"/>
    <mergeCell ref="F1428:I1428"/>
    <mergeCell ref="M1428:N1428"/>
    <mergeCell ref="O1428:P1428"/>
    <mergeCell ref="Q1428:U1428"/>
    <mergeCell ref="A1427:B1427"/>
    <mergeCell ref="C1427:E1427"/>
    <mergeCell ref="F1427:I1427"/>
    <mergeCell ref="M1427:N1427"/>
    <mergeCell ref="O1427:P1427"/>
    <mergeCell ref="Q1427:U1427"/>
    <mergeCell ref="A1438:B1438"/>
    <mergeCell ref="C1438:E1438"/>
    <mergeCell ref="F1438:I1438"/>
    <mergeCell ref="M1438:N1438"/>
    <mergeCell ref="O1438:P1438"/>
    <mergeCell ref="Q1438:U1438"/>
    <mergeCell ref="A1437:B1437"/>
    <mergeCell ref="C1437:E1437"/>
    <mergeCell ref="F1437:I1437"/>
    <mergeCell ref="M1437:N1437"/>
    <mergeCell ref="O1437:P1437"/>
    <mergeCell ref="Q1437:U1437"/>
    <mergeCell ref="A1436:B1436"/>
    <mergeCell ref="C1436:E1436"/>
    <mergeCell ref="F1436:I1436"/>
    <mergeCell ref="M1436:N1436"/>
    <mergeCell ref="O1436:P1436"/>
    <mergeCell ref="Q1436:U1436"/>
    <mergeCell ref="A1435:B1435"/>
    <mergeCell ref="C1435:E1435"/>
    <mergeCell ref="F1435:I1435"/>
    <mergeCell ref="M1435:N1435"/>
    <mergeCell ref="O1435:P1435"/>
    <mergeCell ref="Q1435:U1435"/>
    <mergeCell ref="A1434:B1434"/>
    <mergeCell ref="C1434:E1434"/>
    <mergeCell ref="F1434:I1434"/>
    <mergeCell ref="M1434:N1434"/>
    <mergeCell ref="O1434:P1434"/>
    <mergeCell ref="Q1434:U1434"/>
    <mergeCell ref="A1433:B1433"/>
    <mergeCell ref="C1433:E1433"/>
    <mergeCell ref="F1433:I1433"/>
    <mergeCell ref="M1433:N1433"/>
    <mergeCell ref="O1433:P1433"/>
    <mergeCell ref="Q1433:U1433"/>
    <mergeCell ref="S1445:W1445"/>
    <mergeCell ref="C1446:T1446"/>
    <mergeCell ref="A1447:F1449"/>
    <mergeCell ref="G1447:T1447"/>
    <mergeCell ref="G1448:R1448"/>
    <mergeCell ref="G1449:Q1449"/>
    <mergeCell ref="A1443:B1443"/>
    <mergeCell ref="C1443:E1443"/>
    <mergeCell ref="F1443:I1443"/>
    <mergeCell ref="M1443:N1443"/>
    <mergeCell ref="O1443:P1443"/>
    <mergeCell ref="Q1443:U1443"/>
    <mergeCell ref="A1442:B1442"/>
    <mergeCell ref="C1442:E1442"/>
    <mergeCell ref="F1442:I1442"/>
    <mergeCell ref="M1442:N1442"/>
    <mergeCell ref="O1442:P1442"/>
    <mergeCell ref="Q1442:U1442"/>
    <mergeCell ref="A1441:B1441"/>
    <mergeCell ref="C1441:E1441"/>
    <mergeCell ref="F1441:I1441"/>
    <mergeCell ref="M1441:N1441"/>
    <mergeCell ref="O1441:P1441"/>
    <mergeCell ref="Q1441:U1441"/>
    <mergeCell ref="A1440:B1440"/>
    <mergeCell ref="C1440:E1440"/>
    <mergeCell ref="F1440:I1440"/>
    <mergeCell ref="M1440:N1440"/>
    <mergeCell ref="O1440:P1440"/>
    <mergeCell ref="Q1440:U1440"/>
    <mergeCell ref="A1439:B1439"/>
    <mergeCell ref="C1439:E1439"/>
    <mergeCell ref="F1439:I1439"/>
    <mergeCell ref="M1439:N1439"/>
    <mergeCell ref="O1439:P1439"/>
    <mergeCell ref="Q1439:U1439"/>
    <mergeCell ref="A1458:B1458"/>
    <mergeCell ref="C1458:E1458"/>
    <mergeCell ref="F1458:I1458"/>
    <mergeCell ref="M1458:N1458"/>
    <mergeCell ref="O1458:P1458"/>
    <mergeCell ref="Q1458:U1458"/>
    <mergeCell ref="A1457:B1457"/>
    <mergeCell ref="C1457:E1457"/>
    <mergeCell ref="F1457:I1457"/>
    <mergeCell ref="M1457:N1457"/>
    <mergeCell ref="O1457:P1457"/>
    <mergeCell ref="Q1457:U1457"/>
    <mergeCell ref="A1456:B1456"/>
    <mergeCell ref="C1456:E1456"/>
    <mergeCell ref="F1456:I1456"/>
    <mergeCell ref="M1456:N1456"/>
    <mergeCell ref="O1456:P1456"/>
    <mergeCell ref="Q1456:U1456"/>
    <mergeCell ref="A1454:I1454"/>
    <mergeCell ref="J1454:K1454"/>
    <mergeCell ref="L1454:N1454"/>
    <mergeCell ref="O1454:U1454"/>
    <mergeCell ref="A1455:B1455"/>
    <mergeCell ref="C1455:E1455"/>
    <mergeCell ref="F1455:I1455"/>
    <mergeCell ref="M1455:N1455"/>
    <mergeCell ref="O1455:P1455"/>
    <mergeCell ref="Q1455:U1455"/>
    <mergeCell ref="B1450:G1451"/>
    <mergeCell ref="H1450:M1450"/>
    <mergeCell ref="N1450:S1451"/>
    <mergeCell ref="T1450:W1451"/>
    <mergeCell ref="H1451:M1451"/>
    <mergeCell ref="B1452:D1452"/>
    <mergeCell ref="E1452:Q1453"/>
    <mergeCell ref="R1452:S1453"/>
    <mergeCell ref="T1452:U1453"/>
    <mergeCell ref="A1464:B1464"/>
    <mergeCell ref="C1464:E1464"/>
    <mergeCell ref="F1464:I1464"/>
    <mergeCell ref="M1464:N1464"/>
    <mergeCell ref="O1464:P1464"/>
    <mergeCell ref="Q1464:U1464"/>
    <mergeCell ref="A1463:B1463"/>
    <mergeCell ref="C1463:E1463"/>
    <mergeCell ref="F1463:I1463"/>
    <mergeCell ref="M1463:N1463"/>
    <mergeCell ref="O1463:P1463"/>
    <mergeCell ref="Q1463:U1463"/>
    <mergeCell ref="A1462:B1462"/>
    <mergeCell ref="C1462:E1462"/>
    <mergeCell ref="F1462:I1462"/>
    <mergeCell ref="M1462:N1462"/>
    <mergeCell ref="O1462:P1462"/>
    <mergeCell ref="Q1462:U1462"/>
    <mergeCell ref="A1461:B1461"/>
    <mergeCell ref="C1461:E1461"/>
    <mergeCell ref="F1461:I1461"/>
    <mergeCell ref="M1461:N1461"/>
    <mergeCell ref="O1461:P1461"/>
    <mergeCell ref="Q1461:U1461"/>
    <mergeCell ref="A1460:B1460"/>
    <mergeCell ref="C1460:E1460"/>
    <mergeCell ref="F1460:I1460"/>
    <mergeCell ref="M1460:N1460"/>
    <mergeCell ref="O1460:P1460"/>
    <mergeCell ref="Q1460:U1460"/>
    <mergeCell ref="A1459:B1459"/>
    <mergeCell ref="C1459:E1459"/>
    <mergeCell ref="F1459:I1459"/>
    <mergeCell ref="M1459:N1459"/>
    <mergeCell ref="O1459:P1459"/>
    <mergeCell ref="Q1459:U1459"/>
    <mergeCell ref="A1470:B1470"/>
    <mergeCell ref="C1470:E1470"/>
    <mergeCell ref="F1470:I1470"/>
    <mergeCell ref="M1470:N1470"/>
    <mergeCell ref="O1470:P1470"/>
    <mergeCell ref="Q1470:U1470"/>
    <mergeCell ref="A1469:B1469"/>
    <mergeCell ref="C1469:E1469"/>
    <mergeCell ref="F1469:I1469"/>
    <mergeCell ref="M1469:N1469"/>
    <mergeCell ref="O1469:P1469"/>
    <mergeCell ref="Q1469:U1469"/>
    <mergeCell ref="A1468:B1468"/>
    <mergeCell ref="C1468:E1468"/>
    <mergeCell ref="F1468:I1468"/>
    <mergeCell ref="M1468:N1468"/>
    <mergeCell ref="O1468:P1468"/>
    <mergeCell ref="Q1468:U1468"/>
    <mergeCell ref="A1467:B1467"/>
    <mergeCell ref="C1467:E1467"/>
    <mergeCell ref="F1467:I1467"/>
    <mergeCell ref="M1467:N1467"/>
    <mergeCell ref="O1467:P1467"/>
    <mergeCell ref="Q1467:U1467"/>
    <mergeCell ref="A1466:B1466"/>
    <mergeCell ref="C1466:E1466"/>
    <mergeCell ref="F1466:I1466"/>
    <mergeCell ref="M1466:N1466"/>
    <mergeCell ref="O1466:P1466"/>
    <mergeCell ref="Q1466:U1466"/>
    <mergeCell ref="A1465:B1465"/>
    <mergeCell ref="C1465:E1465"/>
    <mergeCell ref="F1465:I1465"/>
    <mergeCell ref="M1465:N1465"/>
    <mergeCell ref="O1465:P1465"/>
    <mergeCell ref="Q1465:U1465"/>
    <mergeCell ref="A1476:B1476"/>
    <mergeCell ref="C1476:E1476"/>
    <mergeCell ref="F1476:I1476"/>
    <mergeCell ref="M1476:N1476"/>
    <mergeCell ref="O1476:P1476"/>
    <mergeCell ref="Q1476:U1476"/>
    <mergeCell ref="A1475:B1475"/>
    <mergeCell ref="C1475:E1475"/>
    <mergeCell ref="F1475:I1475"/>
    <mergeCell ref="M1475:N1475"/>
    <mergeCell ref="O1475:P1475"/>
    <mergeCell ref="Q1475:U1475"/>
    <mergeCell ref="A1474:B1474"/>
    <mergeCell ref="C1474:E1474"/>
    <mergeCell ref="F1474:I1474"/>
    <mergeCell ref="M1474:N1474"/>
    <mergeCell ref="O1474:P1474"/>
    <mergeCell ref="Q1474:U1474"/>
    <mergeCell ref="A1473:B1473"/>
    <mergeCell ref="C1473:E1473"/>
    <mergeCell ref="F1473:I1473"/>
    <mergeCell ref="M1473:N1473"/>
    <mergeCell ref="O1473:P1473"/>
    <mergeCell ref="Q1473:U1473"/>
    <mergeCell ref="A1472:B1472"/>
    <mergeCell ref="C1472:E1472"/>
    <mergeCell ref="F1472:I1472"/>
    <mergeCell ref="M1472:N1472"/>
    <mergeCell ref="O1472:P1472"/>
    <mergeCell ref="Q1472:U1472"/>
    <mergeCell ref="A1471:B1471"/>
    <mergeCell ref="C1471:E1471"/>
    <mergeCell ref="F1471:I1471"/>
    <mergeCell ref="M1471:N1471"/>
    <mergeCell ref="O1471:P1471"/>
    <mergeCell ref="Q1471:U1471"/>
    <mergeCell ref="A1489:I1489"/>
    <mergeCell ref="J1489:K1489"/>
    <mergeCell ref="L1489:N1489"/>
    <mergeCell ref="O1489:U1489"/>
    <mergeCell ref="A1490:B1490"/>
    <mergeCell ref="C1490:E1490"/>
    <mergeCell ref="F1490:I1490"/>
    <mergeCell ref="M1490:N1490"/>
    <mergeCell ref="O1490:P1490"/>
    <mergeCell ref="Q1490:U1490"/>
    <mergeCell ref="B1485:G1486"/>
    <mergeCell ref="H1485:M1485"/>
    <mergeCell ref="N1485:S1486"/>
    <mergeCell ref="T1485:W1486"/>
    <mergeCell ref="H1486:M1486"/>
    <mergeCell ref="B1487:D1487"/>
    <mergeCell ref="E1487:Q1488"/>
    <mergeCell ref="R1487:S1488"/>
    <mergeCell ref="T1487:U1488"/>
    <mergeCell ref="S1480:W1480"/>
    <mergeCell ref="C1481:T1481"/>
    <mergeCell ref="A1482:F1484"/>
    <mergeCell ref="G1482:T1482"/>
    <mergeCell ref="G1483:R1483"/>
    <mergeCell ref="G1484:Q1484"/>
    <mergeCell ref="A1478:B1478"/>
    <mergeCell ref="C1478:E1478"/>
    <mergeCell ref="F1478:I1478"/>
    <mergeCell ref="M1478:N1478"/>
    <mergeCell ref="O1478:P1478"/>
    <mergeCell ref="Q1478:U1478"/>
    <mergeCell ref="A1477:B1477"/>
    <mergeCell ref="C1477:E1477"/>
    <mergeCell ref="F1477:I1477"/>
    <mergeCell ref="M1477:N1477"/>
    <mergeCell ref="O1477:P1477"/>
    <mergeCell ref="Q1477:U1477"/>
    <mergeCell ref="A1496:B1496"/>
    <mergeCell ref="C1496:E1496"/>
    <mergeCell ref="F1496:I1496"/>
    <mergeCell ref="M1496:N1496"/>
    <mergeCell ref="O1496:P1496"/>
    <mergeCell ref="Q1496:U1496"/>
    <mergeCell ref="A1495:B1495"/>
    <mergeCell ref="C1495:E1495"/>
    <mergeCell ref="F1495:I1495"/>
    <mergeCell ref="M1495:N1495"/>
    <mergeCell ref="O1495:P1495"/>
    <mergeCell ref="Q1495:U1495"/>
    <mergeCell ref="A1494:B1494"/>
    <mergeCell ref="C1494:E1494"/>
    <mergeCell ref="F1494:I1494"/>
    <mergeCell ref="M1494:N1494"/>
    <mergeCell ref="O1494:P1494"/>
    <mergeCell ref="Q1494:U1494"/>
    <mergeCell ref="A1493:B1493"/>
    <mergeCell ref="C1493:E1493"/>
    <mergeCell ref="F1493:I1493"/>
    <mergeCell ref="M1493:N1493"/>
    <mergeCell ref="O1493:P1493"/>
    <mergeCell ref="Q1493:U1493"/>
    <mergeCell ref="A1492:B1492"/>
    <mergeCell ref="C1492:E1492"/>
    <mergeCell ref="F1492:I1492"/>
    <mergeCell ref="M1492:N1492"/>
    <mergeCell ref="O1492:P1492"/>
    <mergeCell ref="Q1492:U1492"/>
    <mergeCell ref="A1491:B1491"/>
    <mergeCell ref="C1491:E1491"/>
    <mergeCell ref="F1491:I1491"/>
    <mergeCell ref="M1491:N1491"/>
    <mergeCell ref="O1491:P1491"/>
    <mergeCell ref="Q1491:U1491"/>
    <mergeCell ref="A1502:B1502"/>
    <mergeCell ref="C1502:E1502"/>
    <mergeCell ref="F1502:I1502"/>
    <mergeCell ref="M1502:N1502"/>
    <mergeCell ref="O1502:P1502"/>
    <mergeCell ref="Q1502:U1502"/>
    <mergeCell ref="A1501:B1501"/>
    <mergeCell ref="C1501:E1501"/>
    <mergeCell ref="F1501:I1501"/>
    <mergeCell ref="M1501:N1501"/>
    <mergeCell ref="O1501:P1501"/>
    <mergeCell ref="Q1501:U1501"/>
    <mergeCell ref="A1500:B1500"/>
    <mergeCell ref="C1500:E1500"/>
    <mergeCell ref="F1500:I1500"/>
    <mergeCell ref="M1500:N1500"/>
    <mergeCell ref="O1500:P1500"/>
    <mergeCell ref="Q1500:U1500"/>
    <mergeCell ref="A1499:B1499"/>
    <mergeCell ref="C1499:E1499"/>
    <mergeCell ref="F1499:I1499"/>
    <mergeCell ref="M1499:N1499"/>
    <mergeCell ref="O1499:P1499"/>
    <mergeCell ref="Q1499:U1499"/>
    <mergeCell ref="A1498:B1498"/>
    <mergeCell ref="C1498:E1498"/>
    <mergeCell ref="F1498:I1498"/>
    <mergeCell ref="M1498:N1498"/>
    <mergeCell ref="O1498:P1498"/>
    <mergeCell ref="Q1498:U1498"/>
    <mergeCell ref="A1497:B1497"/>
    <mergeCell ref="C1497:E1497"/>
    <mergeCell ref="F1497:I1497"/>
    <mergeCell ref="M1497:N1497"/>
    <mergeCell ref="O1497:P1497"/>
    <mergeCell ref="Q1497:U1497"/>
    <mergeCell ref="A1508:B1508"/>
    <mergeCell ref="C1508:E1508"/>
    <mergeCell ref="F1508:I1508"/>
    <mergeCell ref="M1508:N1508"/>
    <mergeCell ref="O1508:P1508"/>
    <mergeCell ref="Q1508:U1508"/>
    <mergeCell ref="A1507:B1507"/>
    <mergeCell ref="C1507:E1507"/>
    <mergeCell ref="F1507:I1507"/>
    <mergeCell ref="M1507:N1507"/>
    <mergeCell ref="O1507:P1507"/>
    <mergeCell ref="Q1507:U1507"/>
    <mergeCell ref="A1506:B1506"/>
    <mergeCell ref="C1506:E1506"/>
    <mergeCell ref="F1506:I1506"/>
    <mergeCell ref="M1506:N1506"/>
    <mergeCell ref="O1506:P1506"/>
    <mergeCell ref="Q1506:U1506"/>
    <mergeCell ref="A1505:B1505"/>
    <mergeCell ref="C1505:E1505"/>
    <mergeCell ref="F1505:I1505"/>
    <mergeCell ref="M1505:N1505"/>
    <mergeCell ref="O1505:P1505"/>
    <mergeCell ref="Q1505:U1505"/>
    <mergeCell ref="A1504:B1504"/>
    <mergeCell ref="C1504:E1504"/>
    <mergeCell ref="F1504:I1504"/>
    <mergeCell ref="M1504:N1504"/>
    <mergeCell ref="O1504:P1504"/>
    <mergeCell ref="Q1504:U1504"/>
    <mergeCell ref="A1503:B1503"/>
    <mergeCell ref="C1503:E1503"/>
    <mergeCell ref="F1503:I1503"/>
    <mergeCell ref="M1503:N1503"/>
    <mergeCell ref="O1503:P1503"/>
    <mergeCell ref="Q1503:U1503"/>
    <mergeCell ref="S1515:W1515"/>
    <mergeCell ref="C1516:T1516"/>
    <mergeCell ref="A1517:F1519"/>
    <mergeCell ref="G1517:T1517"/>
    <mergeCell ref="G1518:R1518"/>
    <mergeCell ref="G1519:Q1519"/>
    <mergeCell ref="A1513:B1513"/>
    <mergeCell ref="C1513:E1513"/>
    <mergeCell ref="F1513:I1513"/>
    <mergeCell ref="M1513:N1513"/>
    <mergeCell ref="O1513:P1513"/>
    <mergeCell ref="Q1513:U1513"/>
    <mergeCell ref="A1512:B1512"/>
    <mergeCell ref="C1512:E1512"/>
    <mergeCell ref="F1512:I1512"/>
    <mergeCell ref="M1512:N1512"/>
    <mergeCell ref="O1512:P1512"/>
    <mergeCell ref="Q1512:U1512"/>
    <mergeCell ref="A1511:B1511"/>
    <mergeCell ref="C1511:E1511"/>
    <mergeCell ref="F1511:I1511"/>
    <mergeCell ref="M1511:N1511"/>
    <mergeCell ref="O1511:P1511"/>
    <mergeCell ref="Q1511:U1511"/>
    <mergeCell ref="A1510:B1510"/>
    <mergeCell ref="C1510:E1510"/>
    <mergeCell ref="F1510:I1510"/>
    <mergeCell ref="M1510:N1510"/>
    <mergeCell ref="O1510:P1510"/>
    <mergeCell ref="Q1510:U1510"/>
    <mergeCell ref="A1509:B1509"/>
    <mergeCell ref="C1509:E1509"/>
    <mergeCell ref="F1509:I1509"/>
    <mergeCell ref="M1509:N1509"/>
    <mergeCell ref="O1509:P1509"/>
    <mergeCell ref="Q1509:U1509"/>
    <mergeCell ref="A1528:B1528"/>
    <mergeCell ref="C1528:E1528"/>
    <mergeCell ref="F1528:I1528"/>
    <mergeCell ref="M1528:N1528"/>
    <mergeCell ref="O1528:P1528"/>
    <mergeCell ref="Q1528:U1528"/>
    <mergeCell ref="A1527:B1527"/>
    <mergeCell ref="C1527:E1527"/>
    <mergeCell ref="F1527:I1527"/>
    <mergeCell ref="M1527:N1527"/>
    <mergeCell ref="O1527:P1527"/>
    <mergeCell ref="Q1527:U1527"/>
    <mergeCell ref="A1526:B1526"/>
    <mergeCell ref="C1526:E1526"/>
    <mergeCell ref="F1526:I1526"/>
    <mergeCell ref="M1526:N1526"/>
    <mergeCell ref="O1526:P1526"/>
    <mergeCell ref="Q1526:U1526"/>
    <mergeCell ref="A1524:I1524"/>
    <mergeCell ref="J1524:K1524"/>
    <mergeCell ref="L1524:N1524"/>
    <mergeCell ref="O1524:U1524"/>
    <mergeCell ref="A1525:B1525"/>
    <mergeCell ref="C1525:E1525"/>
    <mergeCell ref="F1525:I1525"/>
    <mergeCell ref="M1525:N1525"/>
    <mergeCell ref="O1525:P1525"/>
    <mergeCell ref="Q1525:U1525"/>
    <mergeCell ref="B1520:G1521"/>
    <mergeCell ref="H1520:M1520"/>
    <mergeCell ref="N1520:S1521"/>
    <mergeCell ref="T1520:W1521"/>
    <mergeCell ref="H1521:M1521"/>
    <mergeCell ref="B1522:D1522"/>
    <mergeCell ref="E1522:Q1523"/>
    <mergeCell ref="R1522:S1523"/>
    <mergeCell ref="T1522:U1523"/>
    <mergeCell ref="A1534:B1534"/>
    <mergeCell ref="C1534:E1534"/>
    <mergeCell ref="F1534:I1534"/>
    <mergeCell ref="M1534:N1534"/>
    <mergeCell ref="O1534:P1534"/>
    <mergeCell ref="Q1534:U1534"/>
    <mergeCell ref="A1533:B1533"/>
    <mergeCell ref="C1533:E1533"/>
    <mergeCell ref="F1533:I1533"/>
    <mergeCell ref="M1533:N1533"/>
    <mergeCell ref="O1533:P1533"/>
    <mergeCell ref="Q1533:U1533"/>
    <mergeCell ref="A1532:B1532"/>
    <mergeCell ref="C1532:E1532"/>
    <mergeCell ref="F1532:I1532"/>
    <mergeCell ref="M1532:N1532"/>
    <mergeCell ref="O1532:P1532"/>
    <mergeCell ref="Q1532:U1532"/>
    <mergeCell ref="A1531:B1531"/>
    <mergeCell ref="C1531:E1531"/>
    <mergeCell ref="F1531:I1531"/>
    <mergeCell ref="M1531:N1531"/>
    <mergeCell ref="O1531:P1531"/>
    <mergeCell ref="Q1531:U1531"/>
    <mergeCell ref="A1530:B1530"/>
    <mergeCell ref="C1530:E1530"/>
    <mergeCell ref="F1530:I1530"/>
    <mergeCell ref="M1530:N1530"/>
    <mergeCell ref="O1530:P1530"/>
    <mergeCell ref="Q1530:U1530"/>
    <mergeCell ref="A1529:B1529"/>
    <mergeCell ref="C1529:E1529"/>
    <mergeCell ref="F1529:I1529"/>
    <mergeCell ref="M1529:N1529"/>
    <mergeCell ref="O1529:P1529"/>
    <mergeCell ref="Q1529:U1529"/>
    <mergeCell ref="A1540:B1540"/>
    <mergeCell ref="C1540:E1540"/>
    <mergeCell ref="F1540:I1540"/>
    <mergeCell ref="M1540:N1540"/>
    <mergeCell ref="O1540:P1540"/>
    <mergeCell ref="Q1540:U1540"/>
    <mergeCell ref="A1539:B1539"/>
    <mergeCell ref="C1539:E1539"/>
    <mergeCell ref="F1539:I1539"/>
    <mergeCell ref="M1539:N1539"/>
    <mergeCell ref="O1539:P1539"/>
    <mergeCell ref="Q1539:U1539"/>
    <mergeCell ref="A1538:B1538"/>
    <mergeCell ref="C1538:E1538"/>
    <mergeCell ref="F1538:I1538"/>
    <mergeCell ref="M1538:N1538"/>
    <mergeCell ref="O1538:P1538"/>
    <mergeCell ref="Q1538:U1538"/>
    <mergeCell ref="A1537:B1537"/>
    <mergeCell ref="C1537:E1537"/>
    <mergeCell ref="F1537:I1537"/>
    <mergeCell ref="M1537:N1537"/>
    <mergeCell ref="O1537:P1537"/>
    <mergeCell ref="Q1537:U1537"/>
    <mergeCell ref="A1536:B1536"/>
    <mergeCell ref="C1536:E1536"/>
    <mergeCell ref="F1536:I1536"/>
    <mergeCell ref="M1536:N1536"/>
    <mergeCell ref="O1536:P1536"/>
    <mergeCell ref="Q1536:U1536"/>
    <mergeCell ref="A1535:B1535"/>
    <mergeCell ref="C1535:E1535"/>
    <mergeCell ref="F1535:I1535"/>
    <mergeCell ref="M1535:N1535"/>
    <mergeCell ref="O1535:P1535"/>
    <mergeCell ref="Q1535:U1535"/>
    <mergeCell ref="A1546:B1546"/>
    <mergeCell ref="C1546:E1546"/>
    <mergeCell ref="F1546:I1546"/>
    <mergeCell ref="M1546:N1546"/>
    <mergeCell ref="O1546:P1546"/>
    <mergeCell ref="Q1546:U1546"/>
    <mergeCell ref="A1545:B1545"/>
    <mergeCell ref="C1545:E1545"/>
    <mergeCell ref="F1545:I1545"/>
    <mergeCell ref="M1545:N1545"/>
    <mergeCell ref="O1545:P1545"/>
    <mergeCell ref="Q1545:U1545"/>
    <mergeCell ref="A1544:B1544"/>
    <mergeCell ref="C1544:E1544"/>
    <mergeCell ref="F1544:I1544"/>
    <mergeCell ref="M1544:N1544"/>
    <mergeCell ref="O1544:P1544"/>
    <mergeCell ref="Q1544:U1544"/>
    <mergeCell ref="A1543:B1543"/>
    <mergeCell ref="C1543:E1543"/>
    <mergeCell ref="F1543:I1543"/>
    <mergeCell ref="M1543:N1543"/>
    <mergeCell ref="O1543:P1543"/>
    <mergeCell ref="Q1543:U1543"/>
    <mergeCell ref="A1542:B1542"/>
    <mergeCell ref="C1542:E1542"/>
    <mergeCell ref="F1542:I1542"/>
    <mergeCell ref="M1542:N1542"/>
    <mergeCell ref="O1542:P1542"/>
    <mergeCell ref="Q1542:U1542"/>
    <mergeCell ref="A1541:B1541"/>
    <mergeCell ref="C1541:E1541"/>
    <mergeCell ref="F1541:I1541"/>
    <mergeCell ref="M1541:N1541"/>
    <mergeCell ref="O1541:P1541"/>
    <mergeCell ref="Q1541:U1541"/>
    <mergeCell ref="A1559:I1559"/>
    <mergeCell ref="J1559:K1559"/>
    <mergeCell ref="L1559:N1559"/>
    <mergeCell ref="O1559:U1559"/>
    <mergeCell ref="A1560:B1560"/>
    <mergeCell ref="C1560:E1560"/>
    <mergeCell ref="F1560:I1560"/>
    <mergeCell ref="M1560:N1560"/>
    <mergeCell ref="O1560:P1560"/>
    <mergeCell ref="Q1560:U1560"/>
    <mergeCell ref="B1555:G1556"/>
    <mergeCell ref="H1555:M1555"/>
    <mergeCell ref="N1555:S1556"/>
    <mergeCell ref="T1555:W1556"/>
    <mergeCell ref="H1556:M1556"/>
    <mergeCell ref="B1557:D1557"/>
    <mergeCell ref="E1557:Q1558"/>
    <mergeCell ref="R1557:S1558"/>
    <mergeCell ref="T1557:U1558"/>
    <mergeCell ref="S1550:W1550"/>
    <mergeCell ref="C1551:T1551"/>
    <mergeCell ref="A1552:F1554"/>
    <mergeCell ref="G1552:T1552"/>
    <mergeCell ref="G1553:R1553"/>
    <mergeCell ref="G1554:Q1554"/>
    <mergeCell ref="A1548:B1548"/>
    <mergeCell ref="C1548:E1548"/>
    <mergeCell ref="F1548:I1548"/>
    <mergeCell ref="M1548:N1548"/>
    <mergeCell ref="O1548:P1548"/>
    <mergeCell ref="Q1548:U1548"/>
    <mergeCell ref="A1547:B1547"/>
    <mergeCell ref="C1547:E1547"/>
    <mergeCell ref="F1547:I1547"/>
    <mergeCell ref="M1547:N1547"/>
    <mergeCell ref="O1547:P1547"/>
    <mergeCell ref="Q1547:U1547"/>
    <mergeCell ref="A1566:B1566"/>
    <mergeCell ref="C1566:E1566"/>
    <mergeCell ref="F1566:I1566"/>
    <mergeCell ref="M1566:N1566"/>
    <mergeCell ref="O1566:P1566"/>
    <mergeCell ref="Q1566:U1566"/>
    <mergeCell ref="A1565:B1565"/>
    <mergeCell ref="C1565:E1565"/>
    <mergeCell ref="F1565:I1565"/>
    <mergeCell ref="M1565:N1565"/>
    <mergeCell ref="O1565:P1565"/>
    <mergeCell ref="Q1565:U1565"/>
    <mergeCell ref="A1564:B1564"/>
    <mergeCell ref="C1564:E1564"/>
    <mergeCell ref="F1564:I1564"/>
    <mergeCell ref="M1564:N1564"/>
    <mergeCell ref="O1564:P1564"/>
    <mergeCell ref="Q1564:U1564"/>
    <mergeCell ref="A1563:B1563"/>
    <mergeCell ref="C1563:E1563"/>
    <mergeCell ref="F1563:I1563"/>
    <mergeCell ref="M1563:N1563"/>
    <mergeCell ref="O1563:P1563"/>
    <mergeCell ref="Q1563:U1563"/>
    <mergeCell ref="A1562:B1562"/>
    <mergeCell ref="C1562:E1562"/>
    <mergeCell ref="F1562:I1562"/>
    <mergeCell ref="M1562:N1562"/>
    <mergeCell ref="O1562:P1562"/>
    <mergeCell ref="Q1562:U1562"/>
    <mergeCell ref="A1561:B1561"/>
    <mergeCell ref="C1561:E1561"/>
    <mergeCell ref="F1561:I1561"/>
    <mergeCell ref="M1561:N1561"/>
    <mergeCell ref="O1561:P1561"/>
    <mergeCell ref="Q1561:U1561"/>
    <mergeCell ref="A1572:B1572"/>
    <mergeCell ref="C1572:E1572"/>
    <mergeCell ref="F1572:I1572"/>
    <mergeCell ref="M1572:N1572"/>
    <mergeCell ref="O1572:P1572"/>
    <mergeCell ref="Q1572:U1572"/>
    <mergeCell ref="A1571:B1571"/>
    <mergeCell ref="C1571:E1571"/>
    <mergeCell ref="F1571:I1571"/>
    <mergeCell ref="M1571:N1571"/>
    <mergeCell ref="O1571:P1571"/>
    <mergeCell ref="Q1571:U1571"/>
    <mergeCell ref="A1570:B1570"/>
    <mergeCell ref="C1570:E1570"/>
    <mergeCell ref="F1570:I1570"/>
    <mergeCell ref="M1570:N1570"/>
    <mergeCell ref="O1570:P1570"/>
    <mergeCell ref="Q1570:U1570"/>
    <mergeCell ref="A1569:B1569"/>
    <mergeCell ref="C1569:E1569"/>
    <mergeCell ref="F1569:I1569"/>
    <mergeCell ref="M1569:N1569"/>
    <mergeCell ref="O1569:P1569"/>
    <mergeCell ref="Q1569:U1569"/>
    <mergeCell ref="A1568:B1568"/>
    <mergeCell ref="C1568:E1568"/>
    <mergeCell ref="F1568:I1568"/>
    <mergeCell ref="M1568:N1568"/>
    <mergeCell ref="O1568:P1568"/>
    <mergeCell ref="Q1568:U1568"/>
    <mergeCell ref="A1567:B1567"/>
    <mergeCell ref="C1567:E1567"/>
    <mergeCell ref="F1567:I1567"/>
    <mergeCell ref="M1567:N1567"/>
    <mergeCell ref="O1567:P1567"/>
    <mergeCell ref="Q1567:U1567"/>
    <mergeCell ref="A1578:B1578"/>
    <mergeCell ref="C1578:E1578"/>
    <mergeCell ref="F1578:I1578"/>
    <mergeCell ref="M1578:N1578"/>
    <mergeCell ref="O1578:P1578"/>
    <mergeCell ref="Q1578:U1578"/>
    <mergeCell ref="A1577:B1577"/>
    <mergeCell ref="C1577:E1577"/>
    <mergeCell ref="F1577:I1577"/>
    <mergeCell ref="M1577:N1577"/>
    <mergeCell ref="O1577:P1577"/>
    <mergeCell ref="Q1577:U1577"/>
    <mergeCell ref="A1576:B1576"/>
    <mergeCell ref="C1576:E1576"/>
    <mergeCell ref="F1576:I1576"/>
    <mergeCell ref="M1576:N1576"/>
    <mergeCell ref="O1576:P1576"/>
    <mergeCell ref="Q1576:U1576"/>
    <mergeCell ref="A1575:B1575"/>
    <mergeCell ref="C1575:E1575"/>
    <mergeCell ref="F1575:I1575"/>
    <mergeCell ref="M1575:N1575"/>
    <mergeCell ref="O1575:P1575"/>
    <mergeCell ref="Q1575:U1575"/>
    <mergeCell ref="A1574:B1574"/>
    <mergeCell ref="C1574:E1574"/>
    <mergeCell ref="F1574:I1574"/>
    <mergeCell ref="M1574:N1574"/>
    <mergeCell ref="O1574:P1574"/>
    <mergeCell ref="Q1574:U1574"/>
    <mergeCell ref="A1573:B1573"/>
    <mergeCell ref="C1573:E1573"/>
    <mergeCell ref="F1573:I1573"/>
    <mergeCell ref="M1573:N1573"/>
    <mergeCell ref="O1573:P1573"/>
    <mergeCell ref="Q1573:U1573"/>
    <mergeCell ref="S1585:W1585"/>
    <mergeCell ref="C1586:T1586"/>
    <mergeCell ref="A1587:F1589"/>
    <mergeCell ref="G1587:T1587"/>
    <mergeCell ref="G1588:R1588"/>
    <mergeCell ref="G1589:Q1589"/>
    <mergeCell ref="A1583:B1583"/>
    <mergeCell ref="C1583:E1583"/>
    <mergeCell ref="F1583:I1583"/>
    <mergeCell ref="M1583:N1583"/>
    <mergeCell ref="O1583:P1583"/>
    <mergeCell ref="Q1583:U1583"/>
    <mergeCell ref="A1582:B1582"/>
    <mergeCell ref="C1582:E1582"/>
    <mergeCell ref="F1582:I1582"/>
    <mergeCell ref="M1582:N1582"/>
    <mergeCell ref="O1582:P1582"/>
    <mergeCell ref="Q1582:U1582"/>
    <mergeCell ref="A1581:B1581"/>
    <mergeCell ref="C1581:E1581"/>
    <mergeCell ref="F1581:I1581"/>
    <mergeCell ref="M1581:N1581"/>
    <mergeCell ref="O1581:P1581"/>
    <mergeCell ref="Q1581:U1581"/>
    <mergeCell ref="A1580:B1580"/>
    <mergeCell ref="C1580:E1580"/>
    <mergeCell ref="F1580:I1580"/>
    <mergeCell ref="M1580:N1580"/>
    <mergeCell ref="O1580:P1580"/>
    <mergeCell ref="Q1580:U1580"/>
    <mergeCell ref="A1579:B1579"/>
    <mergeCell ref="C1579:E1579"/>
    <mergeCell ref="F1579:I1579"/>
    <mergeCell ref="M1579:N1579"/>
    <mergeCell ref="O1579:P1579"/>
    <mergeCell ref="Q1579:U1579"/>
    <mergeCell ref="A1598:B1598"/>
    <mergeCell ref="C1598:E1598"/>
    <mergeCell ref="F1598:I1598"/>
    <mergeCell ref="M1598:N1598"/>
    <mergeCell ref="O1598:P1598"/>
    <mergeCell ref="Q1598:U1598"/>
    <mergeCell ref="A1597:B1597"/>
    <mergeCell ref="C1597:E1597"/>
    <mergeCell ref="F1597:I1597"/>
    <mergeCell ref="M1597:N1597"/>
    <mergeCell ref="O1597:P1597"/>
    <mergeCell ref="Q1597:U1597"/>
    <mergeCell ref="A1596:B1596"/>
    <mergeCell ref="C1596:E1596"/>
    <mergeCell ref="F1596:I1596"/>
    <mergeCell ref="M1596:N1596"/>
    <mergeCell ref="O1596:P1596"/>
    <mergeCell ref="Q1596:U1596"/>
    <mergeCell ref="A1594:I1594"/>
    <mergeCell ref="J1594:K1594"/>
    <mergeCell ref="L1594:N1594"/>
    <mergeCell ref="O1594:U1594"/>
    <mergeCell ref="A1595:B1595"/>
    <mergeCell ref="C1595:E1595"/>
    <mergeCell ref="F1595:I1595"/>
    <mergeCell ref="M1595:N1595"/>
    <mergeCell ref="O1595:P1595"/>
    <mergeCell ref="Q1595:U1595"/>
    <mergeCell ref="B1590:G1591"/>
    <mergeCell ref="H1590:M1590"/>
    <mergeCell ref="N1590:S1591"/>
    <mergeCell ref="T1590:W1591"/>
    <mergeCell ref="H1591:M1591"/>
    <mergeCell ref="B1592:D1592"/>
    <mergeCell ref="E1592:Q1593"/>
    <mergeCell ref="R1592:S1593"/>
    <mergeCell ref="T1592:U1593"/>
    <mergeCell ref="A1604:B1604"/>
    <mergeCell ref="C1604:E1604"/>
    <mergeCell ref="F1604:I1604"/>
    <mergeCell ref="M1604:N1604"/>
    <mergeCell ref="O1604:P1604"/>
    <mergeCell ref="Q1604:U1604"/>
    <mergeCell ref="A1603:B1603"/>
    <mergeCell ref="C1603:E1603"/>
    <mergeCell ref="F1603:I1603"/>
    <mergeCell ref="M1603:N1603"/>
    <mergeCell ref="O1603:P1603"/>
    <mergeCell ref="Q1603:U1603"/>
    <mergeCell ref="A1602:B1602"/>
    <mergeCell ref="C1602:E1602"/>
    <mergeCell ref="F1602:I1602"/>
    <mergeCell ref="M1602:N1602"/>
    <mergeCell ref="O1602:P1602"/>
    <mergeCell ref="Q1602:U1602"/>
    <mergeCell ref="A1601:B1601"/>
    <mergeCell ref="C1601:E1601"/>
    <mergeCell ref="F1601:I1601"/>
    <mergeCell ref="M1601:N1601"/>
    <mergeCell ref="O1601:P1601"/>
    <mergeCell ref="Q1601:U1601"/>
    <mergeCell ref="A1600:B1600"/>
    <mergeCell ref="C1600:E1600"/>
    <mergeCell ref="F1600:I1600"/>
    <mergeCell ref="M1600:N1600"/>
    <mergeCell ref="O1600:P1600"/>
    <mergeCell ref="Q1600:U1600"/>
    <mergeCell ref="A1599:B1599"/>
    <mergeCell ref="C1599:E1599"/>
    <mergeCell ref="F1599:I1599"/>
    <mergeCell ref="M1599:N1599"/>
    <mergeCell ref="O1599:P1599"/>
    <mergeCell ref="Q1599:U1599"/>
    <mergeCell ref="A1610:B1610"/>
    <mergeCell ref="C1610:E1610"/>
    <mergeCell ref="F1610:I1610"/>
    <mergeCell ref="M1610:N1610"/>
    <mergeCell ref="O1610:P1610"/>
    <mergeCell ref="Q1610:U1610"/>
    <mergeCell ref="A1609:B1609"/>
    <mergeCell ref="C1609:E1609"/>
    <mergeCell ref="F1609:I1609"/>
    <mergeCell ref="M1609:N1609"/>
    <mergeCell ref="O1609:P1609"/>
    <mergeCell ref="Q1609:U1609"/>
    <mergeCell ref="A1608:B1608"/>
    <mergeCell ref="C1608:E1608"/>
    <mergeCell ref="F1608:I1608"/>
    <mergeCell ref="M1608:N1608"/>
    <mergeCell ref="O1608:P1608"/>
    <mergeCell ref="Q1608:U1608"/>
    <mergeCell ref="A1607:B1607"/>
    <mergeCell ref="C1607:E1607"/>
    <mergeCell ref="F1607:I1607"/>
    <mergeCell ref="M1607:N1607"/>
    <mergeCell ref="O1607:P1607"/>
    <mergeCell ref="Q1607:U1607"/>
    <mergeCell ref="A1606:B1606"/>
    <mergeCell ref="C1606:E1606"/>
    <mergeCell ref="F1606:I1606"/>
    <mergeCell ref="M1606:N1606"/>
    <mergeCell ref="O1606:P1606"/>
    <mergeCell ref="Q1606:U1606"/>
    <mergeCell ref="A1605:B1605"/>
    <mergeCell ref="C1605:E1605"/>
    <mergeCell ref="F1605:I1605"/>
    <mergeCell ref="M1605:N1605"/>
    <mergeCell ref="O1605:P1605"/>
    <mergeCell ref="Q1605:U1605"/>
    <mergeCell ref="A1616:B1616"/>
    <mergeCell ref="C1616:E1616"/>
    <mergeCell ref="F1616:I1616"/>
    <mergeCell ref="M1616:N1616"/>
    <mergeCell ref="O1616:P1616"/>
    <mergeCell ref="Q1616:U1616"/>
    <mergeCell ref="A1615:B1615"/>
    <mergeCell ref="C1615:E1615"/>
    <mergeCell ref="F1615:I1615"/>
    <mergeCell ref="M1615:N1615"/>
    <mergeCell ref="O1615:P1615"/>
    <mergeCell ref="Q1615:U1615"/>
    <mergeCell ref="A1614:B1614"/>
    <mergeCell ref="C1614:E1614"/>
    <mergeCell ref="F1614:I1614"/>
    <mergeCell ref="M1614:N1614"/>
    <mergeCell ref="O1614:P1614"/>
    <mergeCell ref="Q1614:U1614"/>
    <mergeCell ref="A1613:B1613"/>
    <mergeCell ref="C1613:E1613"/>
    <mergeCell ref="F1613:I1613"/>
    <mergeCell ref="M1613:N1613"/>
    <mergeCell ref="O1613:P1613"/>
    <mergeCell ref="Q1613:U1613"/>
    <mergeCell ref="A1612:B1612"/>
    <mergeCell ref="C1612:E1612"/>
    <mergeCell ref="F1612:I1612"/>
    <mergeCell ref="M1612:N1612"/>
    <mergeCell ref="O1612:P1612"/>
    <mergeCell ref="Q1612:U1612"/>
    <mergeCell ref="A1611:B1611"/>
    <mergeCell ref="C1611:E1611"/>
    <mergeCell ref="F1611:I1611"/>
    <mergeCell ref="M1611:N1611"/>
    <mergeCell ref="O1611:P1611"/>
    <mergeCell ref="Q1611:U1611"/>
    <mergeCell ref="A1629:I1629"/>
    <mergeCell ref="J1629:K1629"/>
    <mergeCell ref="L1629:N1629"/>
    <mergeCell ref="O1629:U1629"/>
    <mergeCell ref="A1630:B1630"/>
    <mergeCell ref="C1630:E1630"/>
    <mergeCell ref="F1630:I1630"/>
    <mergeCell ref="M1630:N1630"/>
    <mergeCell ref="O1630:P1630"/>
    <mergeCell ref="Q1630:U1630"/>
    <mergeCell ref="B1625:G1626"/>
    <mergeCell ref="H1625:M1625"/>
    <mergeCell ref="N1625:S1626"/>
    <mergeCell ref="T1625:W1626"/>
    <mergeCell ref="H1626:M1626"/>
    <mergeCell ref="B1627:D1627"/>
    <mergeCell ref="E1627:Q1628"/>
    <mergeCell ref="R1627:S1628"/>
    <mergeCell ref="T1627:U1628"/>
    <mergeCell ref="S1620:W1620"/>
    <mergeCell ref="C1621:T1621"/>
    <mergeCell ref="A1622:F1624"/>
    <mergeCell ref="G1622:T1622"/>
    <mergeCell ref="G1623:R1623"/>
    <mergeCell ref="G1624:Q1624"/>
    <mergeCell ref="A1618:B1618"/>
    <mergeCell ref="C1618:E1618"/>
    <mergeCell ref="F1618:I1618"/>
    <mergeCell ref="M1618:N1618"/>
    <mergeCell ref="O1618:P1618"/>
    <mergeCell ref="Q1618:U1618"/>
    <mergeCell ref="A1617:B1617"/>
    <mergeCell ref="C1617:E1617"/>
    <mergeCell ref="F1617:I1617"/>
    <mergeCell ref="M1617:N1617"/>
    <mergeCell ref="O1617:P1617"/>
    <mergeCell ref="Q1617:U1617"/>
    <mergeCell ref="A1636:B1636"/>
    <mergeCell ref="C1636:E1636"/>
    <mergeCell ref="F1636:I1636"/>
    <mergeCell ref="M1636:N1636"/>
    <mergeCell ref="O1636:P1636"/>
    <mergeCell ref="Q1636:U1636"/>
    <mergeCell ref="A1635:B1635"/>
    <mergeCell ref="C1635:E1635"/>
    <mergeCell ref="F1635:I1635"/>
    <mergeCell ref="M1635:N1635"/>
    <mergeCell ref="O1635:P1635"/>
    <mergeCell ref="Q1635:U1635"/>
    <mergeCell ref="A1634:B1634"/>
    <mergeCell ref="C1634:E1634"/>
    <mergeCell ref="F1634:I1634"/>
    <mergeCell ref="M1634:N1634"/>
    <mergeCell ref="O1634:P1634"/>
    <mergeCell ref="Q1634:U1634"/>
    <mergeCell ref="A1633:B1633"/>
    <mergeCell ref="C1633:E1633"/>
    <mergeCell ref="F1633:I1633"/>
    <mergeCell ref="M1633:N1633"/>
    <mergeCell ref="O1633:P1633"/>
    <mergeCell ref="Q1633:U1633"/>
    <mergeCell ref="A1632:B1632"/>
    <mergeCell ref="C1632:E1632"/>
    <mergeCell ref="F1632:I1632"/>
    <mergeCell ref="M1632:N1632"/>
    <mergeCell ref="O1632:P1632"/>
    <mergeCell ref="Q1632:U1632"/>
    <mergeCell ref="A1631:B1631"/>
    <mergeCell ref="C1631:E1631"/>
    <mergeCell ref="F1631:I1631"/>
    <mergeCell ref="M1631:N1631"/>
    <mergeCell ref="O1631:P1631"/>
    <mergeCell ref="Q1631:U1631"/>
    <mergeCell ref="A1642:B1642"/>
    <mergeCell ref="C1642:E1642"/>
    <mergeCell ref="F1642:I1642"/>
    <mergeCell ref="M1642:N1642"/>
    <mergeCell ref="O1642:P1642"/>
    <mergeCell ref="Q1642:U1642"/>
    <mergeCell ref="A1641:B1641"/>
    <mergeCell ref="C1641:E1641"/>
    <mergeCell ref="F1641:I1641"/>
    <mergeCell ref="M1641:N1641"/>
    <mergeCell ref="O1641:P1641"/>
    <mergeCell ref="Q1641:U1641"/>
    <mergeCell ref="A1640:B1640"/>
    <mergeCell ref="C1640:E1640"/>
    <mergeCell ref="F1640:I1640"/>
    <mergeCell ref="M1640:N1640"/>
    <mergeCell ref="O1640:P1640"/>
    <mergeCell ref="Q1640:U1640"/>
    <mergeCell ref="A1639:B1639"/>
    <mergeCell ref="C1639:E1639"/>
    <mergeCell ref="F1639:I1639"/>
    <mergeCell ref="M1639:N1639"/>
    <mergeCell ref="O1639:P1639"/>
    <mergeCell ref="Q1639:U1639"/>
    <mergeCell ref="A1638:B1638"/>
    <mergeCell ref="C1638:E1638"/>
    <mergeCell ref="F1638:I1638"/>
    <mergeCell ref="M1638:N1638"/>
    <mergeCell ref="O1638:P1638"/>
    <mergeCell ref="Q1638:U1638"/>
    <mergeCell ref="A1637:B1637"/>
    <mergeCell ref="C1637:E1637"/>
    <mergeCell ref="F1637:I1637"/>
    <mergeCell ref="M1637:N1637"/>
    <mergeCell ref="O1637:P1637"/>
    <mergeCell ref="Q1637:U1637"/>
    <mergeCell ref="A1648:B1648"/>
    <mergeCell ref="C1648:E1648"/>
    <mergeCell ref="F1648:I1648"/>
    <mergeCell ref="M1648:N1648"/>
    <mergeCell ref="O1648:P1648"/>
    <mergeCell ref="Q1648:U1648"/>
    <mergeCell ref="A1647:B1647"/>
    <mergeCell ref="C1647:E1647"/>
    <mergeCell ref="F1647:I1647"/>
    <mergeCell ref="M1647:N1647"/>
    <mergeCell ref="O1647:P1647"/>
    <mergeCell ref="Q1647:U1647"/>
    <mergeCell ref="A1646:B1646"/>
    <mergeCell ref="C1646:E1646"/>
    <mergeCell ref="F1646:I1646"/>
    <mergeCell ref="M1646:N1646"/>
    <mergeCell ref="O1646:P1646"/>
    <mergeCell ref="Q1646:U1646"/>
    <mergeCell ref="A1645:B1645"/>
    <mergeCell ref="C1645:E1645"/>
    <mergeCell ref="F1645:I1645"/>
    <mergeCell ref="M1645:N1645"/>
    <mergeCell ref="O1645:P1645"/>
    <mergeCell ref="Q1645:U1645"/>
    <mergeCell ref="A1644:B1644"/>
    <mergeCell ref="C1644:E1644"/>
    <mergeCell ref="F1644:I1644"/>
    <mergeCell ref="M1644:N1644"/>
    <mergeCell ref="O1644:P1644"/>
    <mergeCell ref="Q1644:U1644"/>
    <mergeCell ref="A1643:B1643"/>
    <mergeCell ref="C1643:E1643"/>
    <mergeCell ref="F1643:I1643"/>
    <mergeCell ref="M1643:N1643"/>
    <mergeCell ref="O1643:P1643"/>
    <mergeCell ref="Q1643:U1643"/>
    <mergeCell ref="S1655:W1655"/>
    <mergeCell ref="C1656:T1656"/>
    <mergeCell ref="A1657:F1659"/>
    <mergeCell ref="G1657:T1657"/>
    <mergeCell ref="G1658:R1658"/>
    <mergeCell ref="G1659:Q1659"/>
    <mergeCell ref="A1653:B1653"/>
    <mergeCell ref="C1653:E1653"/>
    <mergeCell ref="F1653:I1653"/>
    <mergeCell ref="M1653:N1653"/>
    <mergeCell ref="O1653:P1653"/>
    <mergeCell ref="Q1653:U1653"/>
    <mergeCell ref="A1652:B1652"/>
    <mergeCell ref="C1652:E1652"/>
    <mergeCell ref="F1652:I1652"/>
    <mergeCell ref="M1652:N1652"/>
    <mergeCell ref="O1652:P1652"/>
    <mergeCell ref="Q1652:U1652"/>
    <mergeCell ref="A1651:B1651"/>
    <mergeCell ref="C1651:E1651"/>
    <mergeCell ref="F1651:I1651"/>
    <mergeCell ref="M1651:N1651"/>
    <mergeCell ref="O1651:P1651"/>
    <mergeCell ref="Q1651:U1651"/>
    <mergeCell ref="A1650:B1650"/>
    <mergeCell ref="C1650:E1650"/>
    <mergeCell ref="F1650:I1650"/>
    <mergeCell ref="M1650:N1650"/>
    <mergeCell ref="O1650:P1650"/>
    <mergeCell ref="Q1650:U1650"/>
    <mergeCell ref="A1649:B1649"/>
    <mergeCell ref="C1649:E1649"/>
    <mergeCell ref="F1649:I1649"/>
    <mergeCell ref="M1649:N1649"/>
    <mergeCell ref="O1649:P1649"/>
    <mergeCell ref="Q1649:U1649"/>
    <mergeCell ref="A1668:B1668"/>
    <mergeCell ref="C1668:E1668"/>
    <mergeCell ref="F1668:I1668"/>
    <mergeCell ref="M1668:N1668"/>
    <mergeCell ref="O1668:P1668"/>
    <mergeCell ref="Q1668:U1668"/>
    <mergeCell ref="A1667:B1667"/>
    <mergeCell ref="C1667:E1667"/>
    <mergeCell ref="F1667:I1667"/>
    <mergeCell ref="M1667:N1667"/>
    <mergeCell ref="O1667:P1667"/>
    <mergeCell ref="Q1667:U1667"/>
    <mergeCell ref="A1666:B1666"/>
    <mergeCell ref="C1666:E1666"/>
    <mergeCell ref="F1666:I1666"/>
    <mergeCell ref="M1666:N1666"/>
    <mergeCell ref="O1666:P1666"/>
    <mergeCell ref="Q1666:U1666"/>
    <mergeCell ref="A1664:I1664"/>
    <mergeCell ref="J1664:K1664"/>
    <mergeCell ref="L1664:N1664"/>
    <mergeCell ref="O1664:U1664"/>
    <mergeCell ref="A1665:B1665"/>
    <mergeCell ref="C1665:E1665"/>
    <mergeCell ref="F1665:I1665"/>
    <mergeCell ref="M1665:N1665"/>
    <mergeCell ref="O1665:P1665"/>
    <mergeCell ref="Q1665:U1665"/>
    <mergeCell ref="B1660:G1661"/>
    <mergeCell ref="H1660:M1660"/>
    <mergeCell ref="N1660:S1661"/>
    <mergeCell ref="T1660:W1661"/>
    <mergeCell ref="H1661:M1661"/>
    <mergeCell ref="B1662:D1662"/>
    <mergeCell ref="E1662:Q1663"/>
    <mergeCell ref="R1662:S1663"/>
    <mergeCell ref="T1662:U1663"/>
    <mergeCell ref="A1674:B1674"/>
    <mergeCell ref="C1674:E1674"/>
    <mergeCell ref="F1674:I1674"/>
    <mergeCell ref="M1674:N1674"/>
    <mergeCell ref="O1674:P1674"/>
    <mergeCell ref="Q1674:U1674"/>
    <mergeCell ref="A1673:B1673"/>
    <mergeCell ref="C1673:E1673"/>
    <mergeCell ref="F1673:I1673"/>
    <mergeCell ref="M1673:N1673"/>
    <mergeCell ref="O1673:P1673"/>
    <mergeCell ref="Q1673:U1673"/>
    <mergeCell ref="A1672:B1672"/>
    <mergeCell ref="C1672:E1672"/>
    <mergeCell ref="F1672:I1672"/>
    <mergeCell ref="M1672:N1672"/>
    <mergeCell ref="O1672:P1672"/>
    <mergeCell ref="Q1672:U1672"/>
    <mergeCell ref="A1671:B1671"/>
    <mergeCell ref="C1671:E1671"/>
    <mergeCell ref="F1671:I1671"/>
    <mergeCell ref="M1671:N1671"/>
    <mergeCell ref="O1671:P1671"/>
    <mergeCell ref="Q1671:U1671"/>
    <mergeCell ref="A1670:B1670"/>
    <mergeCell ref="C1670:E1670"/>
    <mergeCell ref="F1670:I1670"/>
    <mergeCell ref="M1670:N1670"/>
    <mergeCell ref="O1670:P1670"/>
    <mergeCell ref="Q1670:U1670"/>
    <mergeCell ref="A1669:B1669"/>
    <mergeCell ref="C1669:E1669"/>
    <mergeCell ref="F1669:I1669"/>
    <mergeCell ref="M1669:N1669"/>
    <mergeCell ref="O1669:P1669"/>
    <mergeCell ref="Q1669:U1669"/>
    <mergeCell ref="A1680:B1680"/>
    <mergeCell ref="C1680:E1680"/>
    <mergeCell ref="F1680:I1680"/>
    <mergeCell ref="M1680:N1680"/>
    <mergeCell ref="O1680:P1680"/>
    <mergeCell ref="Q1680:U1680"/>
    <mergeCell ref="A1679:B1679"/>
    <mergeCell ref="C1679:E1679"/>
    <mergeCell ref="F1679:I1679"/>
    <mergeCell ref="M1679:N1679"/>
    <mergeCell ref="O1679:P1679"/>
    <mergeCell ref="Q1679:U1679"/>
    <mergeCell ref="A1678:B1678"/>
    <mergeCell ref="C1678:E1678"/>
    <mergeCell ref="F1678:I1678"/>
    <mergeCell ref="M1678:N1678"/>
    <mergeCell ref="O1678:P1678"/>
    <mergeCell ref="Q1678:U1678"/>
    <mergeCell ref="A1677:B1677"/>
    <mergeCell ref="C1677:E1677"/>
    <mergeCell ref="F1677:I1677"/>
    <mergeCell ref="M1677:N1677"/>
    <mergeCell ref="O1677:P1677"/>
    <mergeCell ref="Q1677:U1677"/>
    <mergeCell ref="A1676:B1676"/>
    <mergeCell ref="C1676:E1676"/>
    <mergeCell ref="F1676:I1676"/>
    <mergeCell ref="M1676:N1676"/>
    <mergeCell ref="O1676:P1676"/>
    <mergeCell ref="Q1676:U1676"/>
    <mergeCell ref="A1675:B1675"/>
    <mergeCell ref="C1675:E1675"/>
    <mergeCell ref="F1675:I1675"/>
    <mergeCell ref="M1675:N1675"/>
    <mergeCell ref="O1675:P1675"/>
    <mergeCell ref="Q1675:U1675"/>
    <mergeCell ref="A1686:B1686"/>
    <mergeCell ref="C1686:E1686"/>
    <mergeCell ref="F1686:I1686"/>
    <mergeCell ref="M1686:N1686"/>
    <mergeCell ref="O1686:P1686"/>
    <mergeCell ref="Q1686:U1686"/>
    <mergeCell ref="A1685:B1685"/>
    <mergeCell ref="C1685:E1685"/>
    <mergeCell ref="F1685:I1685"/>
    <mergeCell ref="M1685:N1685"/>
    <mergeCell ref="O1685:P1685"/>
    <mergeCell ref="Q1685:U1685"/>
    <mergeCell ref="A1684:B1684"/>
    <mergeCell ref="C1684:E1684"/>
    <mergeCell ref="F1684:I1684"/>
    <mergeCell ref="M1684:N1684"/>
    <mergeCell ref="O1684:P1684"/>
    <mergeCell ref="Q1684:U1684"/>
    <mergeCell ref="A1683:B1683"/>
    <mergeCell ref="C1683:E1683"/>
    <mergeCell ref="F1683:I1683"/>
    <mergeCell ref="M1683:N1683"/>
    <mergeCell ref="O1683:P1683"/>
    <mergeCell ref="Q1683:U1683"/>
    <mergeCell ref="A1682:B1682"/>
    <mergeCell ref="C1682:E1682"/>
    <mergeCell ref="F1682:I1682"/>
    <mergeCell ref="M1682:N1682"/>
    <mergeCell ref="O1682:P1682"/>
    <mergeCell ref="Q1682:U1682"/>
    <mergeCell ref="A1681:B1681"/>
    <mergeCell ref="C1681:E1681"/>
    <mergeCell ref="F1681:I1681"/>
    <mergeCell ref="M1681:N1681"/>
    <mergeCell ref="O1681:P1681"/>
    <mergeCell ref="Q1681:U1681"/>
    <mergeCell ref="A1699:I1699"/>
    <mergeCell ref="J1699:K1699"/>
    <mergeCell ref="L1699:N1699"/>
    <mergeCell ref="O1699:U1699"/>
    <mergeCell ref="A1700:B1700"/>
    <mergeCell ref="C1700:E1700"/>
    <mergeCell ref="F1700:I1700"/>
    <mergeCell ref="M1700:N1700"/>
    <mergeCell ref="O1700:P1700"/>
    <mergeCell ref="Q1700:U1700"/>
    <mergeCell ref="B1695:G1696"/>
    <mergeCell ref="H1695:M1695"/>
    <mergeCell ref="N1695:S1696"/>
    <mergeCell ref="T1695:W1696"/>
    <mergeCell ref="H1696:M1696"/>
    <mergeCell ref="B1697:D1697"/>
    <mergeCell ref="E1697:Q1698"/>
    <mergeCell ref="R1697:S1698"/>
    <mergeCell ref="T1697:U1698"/>
    <mergeCell ref="S1690:W1690"/>
    <mergeCell ref="C1691:T1691"/>
    <mergeCell ref="A1692:F1694"/>
    <mergeCell ref="G1692:T1692"/>
    <mergeCell ref="G1693:R1693"/>
    <mergeCell ref="G1694:Q1694"/>
    <mergeCell ref="A1688:B1688"/>
    <mergeCell ref="C1688:E1688"/>
    <mergeCell ref="F1688:I1688"/>
    <mergeCell ref="M1688:N1688"/>
    <mergeCell ref="O1688:P1688"/>
    <mergeCell ref="Q1688:U1688"/>
    <mergeCell ref="A1687:B1687"/>
    <mergeCell ref="C1687:E1687"/>
    <mergeCell ref="F1687:I1687"/>
    <mergeCell ref="M1687:N1687"/>
    <mergeCell ref="O1687:P1687"/>
    <mergeCell ref="Q1687:U1687"/>
    <mergeCell ref="A1706:B1706"/>
    <mergeCell ref="C1706:E1706"/>
    <mergeCell ref="F1706:I1706"/>
    <mergeCell ref="M1706:N1706"/>
    <mergeCell ref="O1706:P1706"/>
    <mergeCell ref="Q1706:U1706"/>
    <mergeCell ref="A1705:B1705"/>
    <mergeCell ref="C1705:E1705"/>
    <mergeCell ref="F1705:I1705"/>
    <mergeCell ref="M1705:N1705"/>
    <mergeCell ref="O1705:P1705"/>
    <mergeCell ref="Q1705:U1705"/>
    <mergeCell ref="A1704:B1704"/>
    <mergeCell ref="C1704:E1704"/>
    <mergeCell ref="F1704:I1704"/>
    <mergeCell ref="M1704:N1704"/>
    <mergeCell ref="O1704:P1704"/>
    <mergeCell ref="Q1704:U1704"/>
    <mergeCell ref="A1703:B1703"/>
    <mergeCell ref="C1703:E1703"/>
    <mergeCell ref="F1703:I1703"/>
    <mergeCell ref="M1703:N1703"/>
    <mergeCell ref="O1703:P1703"/>
    <mergeCell ref="Q1703:U1703"/>
    <mergeCell ref="A1702:B1702"/>
    <mergeCell ref="C1702:E1702"/>
    <mergeCell ref="F1702:I1702"/>
    <mergeCell ref="M1702:N1702"/>
    <mergeCell ref="O1702:P1702"/>
    <mergeCell ref="Q1702:U1702"/>
    <mergeCell ref="A1701:B1701"/>
    <mergeCell ref="C1701:E1701"/>
    <mergeCell ref="F1701:I1701"/>
    <mergeCell ref="M1701:N1701"/>
    <mergeCell ref="O1701:P1701"/>
    <mergeCell ref="Q1701:U1701"/>
    <mergeCell ref="A1712:B1712"/>
    <mergeCell ref="C1712:E1712"/>
    <mergeCell ref="F1712:I1712"/>
    <mergeCell ref="M1712:N1712"/>
    <mergeCell ref="O1712:P1712"/>
    <mergeCell ref="Q1712:U1712"/>
    <mergeCell ref="A1711:B1711"/>
    <mergeCell ref="C1711:E1711"/>
    <mergeCell ref="F1711:I1711"/>
    <mergeCell ref="M1711:N1711"/>
    <mergeCell ref="O1711:P1711"/>
    <mergeCell ref="Q1711:U1711"/>
    <mergeCell ref="A1710:B1710"/>
    <mergeCell ref="C1710:E1710"/>
    <mergeCell ref="F1710:I1710"/>
    <mergeCell ref="M1710:N1710"/>
    <mergeCell ref="O1710:P1710"/>
    <mergeCell ref="Q1710:U1710"/>
    <mergeCell ref="A1709:B1709"/>
    <mergeCell ref="C1709:E1709"/>
    <mergeCell ref="F1709:I1709"/>
    <mergeCell ref="M1709:N1709"/>
    <mergeCell ref="O1709:P1709"/>
    <mergeCell ref="Q1709:U1709"/>
    <mergeCell ref="A1708:B1708"/>
    <mergeCell ref="C1708:E1708"/>
    <mergeCell ref="F1708:I1708"/>
    <mergeCell ref="M1708:N1708"/>
    <mergeCell ref="O1708:P1708"/>
    <mergeCell ref="Q1708:U1708"/>
    <mergeCell ref="A1707:B1707"/>
    <mergeCell ref="C1707:E1707"/>
    <mergeCell ref="F1707:I1707"/>
    <mergeCell ref="M1707:N1707"/>
    <mergeCell ref="O1707:P1707"/>
    <mergeCell ref="Q1707:U1707"/>
    <mergeCell ref="A1718:B1718"/>
    <mergeCell ref="C1718:E1718"/>
    <mergeCell ref="F1718:I1718"/>
    <mergeCell ref="M1718:N1718"/>
    <mergeCell ref="O1718:P1718"/>
    <mergeCell ref="Q1718:U1718"/>
    <mergeCell ref="A1717:B1717"/>
    <mergeCell ref="C1717:E1717"/>
    <mergeCell ref="F1717:I1717"/>
    <mergeCell ref="M1717:N1717"/>
    <mergeCell ref="O1717:P1717"/>
    <mergeCell ref="Q1717:U1717"/>
    <mergeCell ref="A1716:B1716"/>
    <mergeCell ref="C1716:E1716"/>
    <mergeCell ref="F1716:I1716"/>
    <mergeCell ref="M1716:N1716"/>
    <mergeCell ref="O1716:P1716"/>
    <mergeCell ref="Q1716:U1716"/>
    <mergeCell ref="A1715:B1715"/>
    <mergeCell ref="C1715:E1715"/>
    <mergeCell ref="F1715:I1715"/>
    <mergeCell ref="M1715:N1715"/>
    <mergeCell ref="O1715:P1715"/>
    <mergeCell ref="Q1715:U1715"/>
    <mergeCell ref="A1714:B1714"/>
    <mergeCell ref="C1714:E1714"/>
    <mergeCell ref="F1714:I1714"/>
    <mergeCell ref="M1714:N1714"/>
    <mergeCell ref="O1714:P1714"/>
    <mergeCell ref="Q1714:U1714"/>
    <mergeCell ref="A1713:B1713"/>
    <mergeCell ref="C1713:E1713"/>
    <mergeCell ref="F1713:I1713"/>
    <mergeCell ref="M1713:N1713"/>
    <mergeCell ref="O1713:P1713"/>
    <mergeCell ref="Q1713:U1713"/>
    <mergeCell ref="S1725:W1725"/>
    <mergeCell ref="C1726:T1726"/>
    <mergeCell ref="A1727:F1729"/>
    <mergeCell ref="G1727:T1727"/>
    <mergeCell ref="G1728:R1728"/>
    <mergeCell ref="G1729:Q1729"/>
    <mergeCell ref="A1723:B1723"/>
    <mergeCell ref="C1723:E1723"/>
    <mergeCell ref="F1723:I1723"/>
    <mergeCell ref="M1723:N1723"/>
    <mergeCell ref="O1723:P1723"/>
    <mergeCell ref="Q1723:U1723"/>
    <mergeCell ref="A1722:B1722"/>
    <mergeCell ref="C1722:E1722"/>
    <mergeCell ref="F1722:I1722"/>
    <mergeCell ref="M1722:N1722"/>
    <mergeCell ref="O1722:P1722"/>
    <mergeCell ref="Q1722:U1722"/>
    <mergeCell ref="A1721:B1721"/>
    <mergeCell ref="C1721:E1721"/>
    <mergeCell ref="F1721:I1721"/>
    <mergeCell ref="M1721:N1721"/>
    <mergeCell ref="O1721:P1721"/>
    <mergeCell ref="Q1721:U1721"/>
    <mergeCell ref="A1720:B1720"/>
    <mergeCell ref="C1720:E1720"/>
    <mergeCell ref="F1720:I1720"/>
    <mergeCell ref="M1720:N1720"/>
    <mergeCell ref="O1720:P1720"/>
    <mergeCell ref="Q1720:U1720"/>
    <mergeCell ref="A1719:B1719"/>
    <mergeCell ref="C1719:E1719"/>
    <mergeCell ref="F1719:I1719"/>
    <mergeCell ref="M1719:N1719"/>
    <mergeCell ref="O1719:P1719"/>
    <mergeCell ref="Q1719:U1719"/>
    <mergeCell ref="A1738:B1738"/>
    <mergeCell ref="C1738:E1738"/>
    <mergeCell ref="F1738:I1738"/>
    <mergeCell ref="M1738:N1738"/>
    <mergeCell ref="O1738:P1738"/>
    <mergeCell ref="Q1738:U1738"/>
    <mergeCell ref="A1737:B1737"/>
    <mergeCell ref="C1737:E1737"/>
    <mergeCell ref="F1737:I1737"/>
    <mergeCell ref="M1737:N1737"/>
    <mergeCell ref="O1737:P1737"/>
    <mergeCell ref="Q1737:U1737"/>
    <mergeCell ref="A1736:B1736"/>
    <mergeCell ref="C1736:E1736"/>
    <mergeCell ref="F1736:I1736"/>
    <mergeCell ref="M1736:N1736"/>
    <mergeCell ref="O1736:P1736"/>
    <mergeCell ref="Q1736:U1736"/>
    <mergeCell ref="A1734:I1734"/>
    <mergeCell ref="J1734:K1734"/>
    <mergeCell ref="L1734:N1734"/>
    <mergeCell ref="O1734:U1734"/>
    <mergeCell ref="A1735:B1735"/>
    <mergeCell ref="C1735:E1735"/>
    <mergeCell ref="F1735:I1735"/>
    <mergeCell ref="M1735:N1735"/>
    <mergeCell ref="O1735:P1735"/>
    <mergeCell ref="Q1735:U1735"/>
    <mergeCell ref="B1730:G1731"/>
    <mergeCell ref="H1730:M1730"/>
    <mergeCell ref="N1730:S1731"/>
    <mergeCell ref="T1730:W1731"/>
    <mergeCell ref="H1731:M1731"/>
    <mergeCell ref="B1732:D1732"/>
    <mergeCell ref="E1732:Q1733"/>
    <mergeCell ref="R1732:S1733"/>
    <mergeCell ref="T1732:U1733"/>
    <mergeCell ref="A1744:B1744"/>
    <mergeCell ref="C1744:E1744"/>
    <mergeCell ref="F1744:I1744"/>
    <mergeCell ref="M1744:N1744"/>
    <mergeCell ref="O1744:P1744"/>
    <mergeCell ref="Q1744:U1744"/>
    <mergeCell ref="A1743:B1743"/>
    <mergeCell ref="C1743:E1743"/>
    <mergeCell ref="F1743:I1743"/>
    <mergeCell ref="M1743:N1743"/>
    <mergeCell ref="O1743:P1743"/>
    <mergeCell ref="Q1743:U1743"/>
    <mergeCell ref="A1742:B1742"/>
    <mergeCell ref="C1742:E1742"/>
    <mergeCell ref="F1742:I1742"/>
    <mergeCell ref="M1742:N1742"/>
    <mergeCell ref="O1742:P1742"/>
    <mergeCell ref="Q1742:U1742"/>
    <mergeCell ref="A1741:B1741"/>
    <mergeCell ref="C1741:E1741"/>
    <mergeCell ref="F1741:I1741"/>
    <mergeCell ref="M1741:N1741"/>
    <mergeCell ref="O1741:P1741"/>
    <mergeCell ref="Q1741:U1741"/>
    <mergeCell ref="A1740:B1740"/>
    <mergeCell ref="C1740:E1740"/>
    <mergeCell ref="F1740:I1740"/>
    <mergeCell ref="M1740:N1740"/>
    <mergeCell ref="O1740:P1740"/>
    <mergeCell ref="Q1740:U1740"/>
    <mergeCell ref="A1739:B1739"/>
    <mergeCell ref="C1739:E1739"/>
    <mergeCell ref="F1739:I1739"/>
    <mergeCell ref="M1739:N1739"/>
    <mergeCell ref="O1739:P1739"/>
    <mergeCell ref="Q1739:U1739"/>
    <mergeCell ref="A1750:B1750"/>
    <mergeCell ref="C1750:E1750"/>
    <mergeCell ref="F1750:I1750"/>
    <mergeCell ref="M1750:N1750"/>
    <mergeCell ref="O1750:P1750"/>
    <mergeCell ref="Q1750:U1750"/>
    <mergeCell ref="A1749:B1749"/>
    <mergeCell ref="C1749:E1749"/>
    <mergeCell ref="F1749:I1749"/>
    <mergeCell ref="M1749:N1749"/>
    <mergeCell ref="O1749:P1749"/>
    <mergeCell ref="Q1749:U1749"/>
    <mergeCell ref="A1748:B1748"/>
    <mergeCell ref="C1748:E1748"/>
    <mergeCell ref="F1748:I1748"/>
    <mergeCell ref="M1748:N1748"/>
    <mergeCell ref="O1748:P1748"/>
    <mergeCell ref="Q1748:U1748"/>
    <mergeCell ref="A1747:B1747"/>
    <mergeCell ref="C1747:E1747"/>
    <mergeCell ref="F1747:I1747"/>
    <mergeCell ref="M1747:N1747"/>
    <mergeCell ref="O1747:P1747"/>
    <mergeCell ref="Q1747:U1747"/>
    <mergeCell ref="A1746:B1746"/>
    <mergeCell ref="C1746:E1746"/>
    <mergeCell ref="F1746:I1746"/>
    <mergeCell ref="M1746:N1746"/>
    <mergeCell ref="O1746:P1746"/>
    <mergeCell ref="Q1746:U1746"/>
    <mergeCell ref="A1745:B1745"/>
    <mergeCell ref="C1745:E1745"/>
    <mergeCell ref="F1745:I1745"/>
    <mergeCell ref="M1745:N1745"/>
    <mergeCell ref="O1745:P1745"/>
    <mergeCell ref="Q1745:U1745"/>
    <mergeCell ref="A1756:B1756"/>
    <mergeCell ref="C1756:E1756"/>
    <mergeCell ref="F1756:I1756"/>
    <mergeCell ref="M1756:N1756"/>
    <mergeCell ref="O1756:P1756"/>
    <mergeCell ref="Q1756:U1756"/>
    <mergeCell ref="A1755:B1755"/>
    <mergeCell ref="C1755:E1755"/>
    <mergeCell ref="F1755:I1755"/>
    <mergeCell ref="M1755:N1755"/>
    <mergeCell ref="O1755:P1755"/>
    <mergeCell ref="Q1755:U1755"/>
    <mergeCell ref="A1754:B1754"/>
    <mergeCell ref="C1754:E1754"/>
    <mergeCell ref="F1754:I1754"/>
    <mergeCell ref="M1754:N1754"/>
    <mergeCell ref="O1754:P1754"/>
    <mergeCell ref="Q1754:U1754"/>
    <mergeCell ref="A1753:B1753"/>
    <mergeCell ref="C1753:E1753"/>
    <mergeCell ref="F1753:I1753"/>
    <mergeCell ref="M1753:N1753"/>
    <mergeCell ref="O1753:P1753"/>
    <mergeCell ref="Q1753:U1753"/>
    <mergeCell ref="A1752:B1752"/>
    <mergeCell ref="C1752:E1752"/>
    <mergeCell ref="F1752:I1752"/>
    <mergeCell ref="M1752:N1752"/>
    <mergeCell ref="O1752:P1752"/>
    <mergeCell ref="Q1752:U1752"/>
    <mergeCell ref="A1751:B1751"/>
    <mergeCell ref="C1751:E1751"/>
    <mergeCell ref="F1751:I1751"/>
    <mergeCell ref="M1751:N1751"/>
    <mergeCell ref="O1751:P1751"/>
    <mergeCell ref="Q1751:U1751"/>
    <mergeCell ref="A1769:I1769"/>
    <mergeCell ref="J1769:K1769"/>
    <mergeCell ref="L1769:N1769"/>
    <mergeCell ref="O1769:U1769"/>
    <mergeCell ref="A1770:B1770"/>
    <mergeCell ref="C1770:E1770"/>
    <mergeCell ref="F1770:I1770"/>
    <mergeCell ref="M1770:N1770"/>
    <mergeCell ref="O1770:P1770"/>
    <mergeCell ref="Q1770:U1770"/>
    <mergeCell ref="B1765:G1766"/>
    <mergeCell ref="H1765:M1765"/>
    <mergeCell ref="N1765:S1766"/>
    <mergeCell ref="T1765:W1766"/>
    <mergeCell ref="H1766:M1766"/>
    <mergeCell ref="B1767:D1767"/>
    <mergeCell ref="E1767:Q1768"/>
    <mergeCell ref="R1767:S1768"/>
    <mergeCell ref="T1767:U1768"/>
    <mergeCell ref="S1760:W1760"/>
    <mergeCell ref="C1761:T1761"/>
    <mergeCell ref="A1762:F1764"/>
    <mergeCell ref="G1762:T1762"/>
    <mergeCell ref="G1763:R1763"/>
    <mergeCell ref="G1764:Q1764"/>
    <mergeCell ref="A1758:B1758"/>
    <mergeCell ref="C1758:E1758"/>
    <mergeCell ref="F1758:I1758"/>
    <mergeCell ref="M1758:N1758"/>
    <mergeCell ref="O1758:P1758"/>
    <mergeCell ref="Q1758:U1758"/>
    <mergeCell ref="A1757:B1757"/>
    <mergeCell ref="C1757:E1757"/>
    <mergeCell ref="F1757:I1757"/>
    <mergeCell ref="M1757:N1757"/>
    <mergeCell ref="O1757:P1757"/>
    <mergeCell ref="Q1757:U1757"/>
    <mergeCell ref="A1776:B1776"/>
    <mergeCell ref="C1776:E1776"/>
    <mergeCell ref="F1776:I1776"/>
    <mergeCell ref="M1776:N1776"/>
    <mergeCell ref="O1776:P1776"/>
    <mergeCell ref="Q1776:U1776"/>
    <mergeCell ref="A1775:B1775"/>
    <mergeCell ref="C1775:E1775"/>
    <mergeCell ref="F1775:I1775"/>
    <mergeCell ref="M1775:N1775"/>
    <mergeCell ref="O1775:P1775"/>
    <mergeCell ref="Q1775:U1775"/>
    <mergeCell ref="A1774:B1774"/>
    <mergeCell ref="C1774:E1774"/>
    <mergeCell ref="F1774:I1774"/>
    <mergeCell ref="M1774:N1774"/>
    <mergeCell ref="O1774:P1774"/>
    <mergeCell ref="Q1774:U1774"/>
    <mergeCell ref="A1773:B1773"/>
    <mergeCell ref="C1773:E1773"/>
    <mergeCell ref="F1773:I1773"/>
    <mergeCell ref="M1773:N1773"/>
    <mergeCell ref="O1773:P1773"/>
    <mergeCell ref="Q1773:U1773"/>
    <mergeCell ref="A1772:B1772"/>
    <mergeCell ref="C1772:E1772"/>
    <mergeCell ref="F1772:I1772"/>
    <mergeCell ref="M1772:N1772"/>
    <mergeCell ref="O1772:P1772"/>
    <mergeCell ref="Q1772:U1772"/>
    <mergeCell ref="A1771:B1771"/>
    <mergeCell ref="C1771:E1771"/>
    <mergeCell ref="F1771:I1771"/>
    <mergeCell ref="M1771:N1771"/>
    <mergeCell ref="O1771:P1771"/>
    <mergeCell ref="Q1771:U1771"/>
    <mergeCell ref="A1782:B1782"/>
    <mergeCell ref="C1782:E1782"/>
    <mergeCell ref="F1782:I1782"/>
    <mergeCell ref="M1782:N1782"/>
    <mergeCell ref="O1782:P1782"/>
    <mergeCell ref="Q1782:U1782"/>
    <mergeCell ref="A1781:B1781"/>
    <mergeCell ref="C1781:E1781"/>
    <mergeCell ref="F1781:I1781"/>
    <mergeCell ref="M1781:N1781"/>
    <mergeCell ref="O1781:P1781"/>
    <mergeCell ref="Q1781:U1781"/>
    <mergeCell ref="A1780:B1780"/>
    <mergeCell ref="C1780:E1780"/>
    <mergeCell ref="F1780:I1780"/>
    <mergeCell ref="M1780:N1780"/>
    <mergeCell ref="O1780:P1780"/>
    <mergeCell ref="Q1780:U1780"/>
    <mergeCell ref="A1779:B1779"/>
    <mergeCell ref="C1779:E1779"/>
    <mergeCell ref="F1779:I1779"/>
    <mergeCell ref="M1779:N1779"/>
    <mergeCell ref="O1779:P1779"/>
    <mergeCell ref="Q1779:U1779"/>
    <mergeCell ref="A1778:B1778"/>
    <mergeCell ref="C1778:E1778"/>
    <mergeCell ref="F1778:I1778"/>
    <mergeCell ref="M1778:N1778"/>
    <mergeCell ref="O1778:P1778"/>
    <mergeCell ref="Q1778:U1778"/>
    <mergeCell ref="A1777:B1777"/>
    <mergeCell ref="C1777:E1777"/>
    <mergeCell ref="F1777:I1777"/>
    <mergeCell ref="M1777:N1777"/>
    <mergeCell ref="O1777:P1777"/>
    <mergeCell ref="Q1777:U1777"/>
    <mergeCell ref="A1788:B1788"/>
    <mergeCell ref="C1788:E1788"/>
    <mergeCell ref="F1788:I1788"/>
    <mergeCell ref="M1788:N1788"/>
    <mergeCell ref="O1788:P1788"/>
    <mergeCell ref="Q1788:U1788"/>
    <mergeCell ref="A1787:B1787"/>
    <mergeCell ref="C1787:E1787"/>
    <mergeCell ref="F1787:I1787"/>
    <mergeCell ref="M1787:N1787"/>
    <mergeCell ref="O1787:P1787"/>
    <mergeCell ref="Q1787:U1787"/>
    <mergeCell ref="A1786:B1786"/>
    <mergeCell ref="C1786:E1786"/>
    <mergeCell ref="F1786:I1786"/>
    <mergeCell ref="M1786:N1786"/>
    <mergeCell ref="O1786:P1786"/>
    <mergeCell ref="Q1786:U1786"/>
    <mergeCell ref="A1785:B1785"/>
    <mergeCell ref="C1785:E1785"/>
    <mergeCell ref="F1785:I1785"/>
    <mergeCell ref="M1785:N1785"/>
    <mergeCell ref="O1785:P1785"/>
    <mergeCell ref="Q1785:U1785"/>
    <mergeCell ref="A1784:B1784"/>
    <mergeCell ref="C1784:E1784"/>
    <mergeCell ref="F1784:I1784"/>
    <mergeCell ref="M1784:N1784"/>
    <mergeCell ref="O1784:P1784"/>
    <mergeCell ref="Q1784:U1784"/>
    <mergeCell ref="A1783:B1783"/>
    <mergeCell ref="C1783:E1783"/>
    <mergeCell ref="F1783:I1783"/>
    <mergeCell ref="M1783:N1783"/>
    <mergeCell ref="O1783:P1783"/>
    <mergeCell ref="Q1783:U1783"/>
    <mergeCell ref="S1795:W1795"/>
    <mergeCell ref="C1796:T1796"/>
    <mergeCell ref="A1797:F1799"/>
    <mergeCell ref="G1797:T1797"/>
    <mergeCell ref="G1798:R1798"/>
    <mergeCell ref="G1799:Q1799"/>
    <mergeCell ref="A1793:B1793"/>
    <mergeCell ref="C1793:E1793"/>
    <mergeCell ref="F1793:I1793"/>
    <mergeCell ref="M1793:N1793"/>
    <mergeCell ref="O1793:P1793"/>
    <mergeCell ref="Q1793:U1793"/>
    <mergeCell ref="A1792:B1792"/>
    <mergeCell ref="C1792:E1792"/>
    <mergeCell ref="F1792:I1792"/>
    <mergeCell ref="M1792:N1792"/>
    <mergeCell ref="O1792:P1792"/>
    <mergeCell ref="Q1792:U1792"/>
    <mergeCell ref="A1791:B1791"/>
    <mergeCell ref="C1791:E1791"/>
    <mergeCell ref="F1791:I1791"/>
    <mergeCell ref="M1791:N1791"/>
    <mergeCell ref="O1791:P1791"/>
    <mergeCell ref="Q1791:U1791"/>
    <mergeCell ref="A1790:B1790"/>
    <mergeCell ref="C1790:E1790"/>
    <mergeCell ref="F1790:I1790"/>
    <mergeCell ref="M1790:N1790"/>
    <mergeCell ref="O1790:P1790"/>
    <mergeCell ref="Q1790:U1790"/>
    <mergeCell ref="A1789:B1789"/>
    <mergeCell ref="C1789:E1789"/>
    <mergeCell ref="F1789:I1789"/>
    <mergeCell ref="M1789:N1789"/>
    <mergeCell ref="O1789:P1789"/>
    <mergeCell ref="Q1789:U1789"/>
    <mergeCell ref="A1808:B1808"/>
    <mergeCell ref="C1808:E1808"/>
    <mergeCell ref="F1808:I1808"/>
    <mergeCell ref="M1808:N1808"/>
    <mergeCell ref="O1808:P1808"/>
    <mergeCell ref="Q1808:U1808"/>
    <mergeCell ref="A1807:B1807"/>
    <mergeCell ref="C1807:E1807"/>
    <mergeCell ref="F1807:I1807"/>
    <mergeCell ref="M1807:N1807"/>
    <mergeCell ref="O1807:P1807"/>
    <mergeCell ref="Q1807:U1807"/>
    <mergeCell ref="A1806:B1806"/>
    <mergeCell ref="C1806:E1806"/>
    <mergeCell ref="F1806:I1806"/>
    <mergeCell ref="M1806:N1806"/>
    <mergeCell ref="O1806:P1806"/>
    <mergeCell ref="Q1806:U1806"/>
    <mergeCell ref="A1804:I1804"/>
    <mergeCell ref="J1804:K1804"/>
    <mergeCell ref="L1804:N1804"/>
    <mergeCell ref="O1804:U1804"/>
    <mergeCell ref="A1805:B1805"/>
    <mergeCell ref="C1805:E1805"/>
    <mergeCell ref="F1805:I1805"/>
    <mergeCell ref="M1805:N1805"/>
    <mergeCell ref="O1805:P1805"/>
    <mergeCell ref="Q1805:U1805"/>
    <mergeCell ref="B1800:G1801"/>
    <mergeCell ref="H1800:M1800"/>
    <mergeCell ref="N1800:S1801"/>
    <mergeCell ref="T1800:W1801"/>
    <mergeCell ref="H1801:M1801"/>
    <mergeCell ref="B1802:D1802"/>
    <mergeCell ref="E1802:Q1803"/>
    <mergeCell ref="R1802:S1803"/>
    <mergeCell ref="T1802:U1803"/>
    <mergeCell ref="A1814:B1814"/>
    <mergeCell ref="C1814:E1814"/>
    <mergeCell ref="F1814:I1814"/>
    <mergeCell ref="M1814:N1814"/>
    <mergeCell ref="O1814:P1814"/>
    <mergeCell ref="Q1814:U1814"/>
    <mergeCell ref="A1813:B1813"/>
    <mergeCell ref="C1813:E1813"/>
    <mergeCell ref="F1813:I1813"/>
    <mergeCell ref="M1813:N1813"/>
    <mergeCell ref="O1813:P1813"/>
    <mergeCell ref="Q1813:U1813"/>
    <mergeCell ref="A1812:B1812"/>
    <mergeCell ref="C1812:E1812"/>
    <mergeCell ref="F1812:I1812"/>
    <mergeCell ref="M1812:N1812"/>
    <mergeCell ref="O1812:P1812"/>
    <mergeCell ref="Q1812:U1812"/>
    <mergeCell ref="A1811:B1811"/>
    <mergeCell ref="C1811:E1811"/>
    <mergeCell ref="F1811:I1811"/>
    <mergeCell ref="M1811:N1811"/>
    <mergeCell ref="O1811:P1811"/>
    <mergeCell ref="Q1811:U1811"/>
    <mergeCell ref="A1810:B1810"/>
    <mergeCell ref="C1810:E1810"/>
    <mergeCell ref="F1810:I1810"/>
    <mergeCell ref="M1810:N1810"/>
    <mergeCell ref="O1810:P1810"/>
    <mergeCell ref="Q1810:U1810"/>
    <mergeCell ref="A1809:B1809"/>
    <mergeCell ref="C1809:E1809"/>
    <mergeCell ref="F1809:I1809"/>
    <mergeCell ref="M1809:N1809"/>
    <mergeCell ref="O1809:P1809"/>
    <mergeCell ref="Q1809:U1809"/>
    <mergeCell ref="A1820:B1820"/>
    <mergeCell ref="C1820:E1820"/>
    <mergeCell ref="F1820:I1820"/>
    <mergeCell ref="M1820:N1820"/>
    <mergeCell ref="O1820:P1820"/>
    <mergeCell ref="Q1820:U1820"/>
    <mergeCell ref="A1819:B1819"/>
    <mergeCell ref="C1819:E1819"/>
    <mergeCell ref="F1819:I1819"/>
    <mergeCell ref="M1819:N1819"/>
    <mergeCell ref="O1819:P1819"/>
    <mergeCell ref="Q1819:U1819"/>
    <mergeCell ref="A1818:B1818"/>
    <mergeCell ref="C1818:E1818"/>
    <mergeCell ref="F1818:I1818"/>
    <mergeCell ref="M1818:N1818"/>
    <mergeCell ref="O1818:P1818"/>
    <mergeCell ref="Q1818:U1818"/>
    <mergeCell ref="A1817:B1817"/>
    <mergeCell ref="C1817:E1817"/>
    <mergeCell ref="F1817:I1817"/>
    <mergeCell ref="M1817:N1817"/>
    <mergeCell ref="O1817:P1817"/>
    <mergeCell ref="Q1817:U1817"/>
    <mergeCell ref="A1816:B1816"/>
    <mergeCell ref="C1816:E1816"/>
    <mergeCell ref="F1816:I1816"/>
    <mergeCell ref="M1816:N1816"/>
    <mergeCell ref="O1816:P1816"/>
    <mergeCell ref="Q1816:U1816"/>
    <mergeCell ref="A1815:B1815"/>
    <mergeCell ref="C1815:E1815"/>
    <mergeCell ref="F1815:I1815"/>
    <mergeCell ref="M1815:N1815"/>
    <mergeCell ref="O1815:P1815"/>
    <mergeCell ref="Q1815:U1815"/>
    <mergeCell ref="A1826:B1826"/>
    <mergeCell ref="C1826:E1826"/>
    <mergeCell ref="F1826:I1826"/>
    <mergeCell ref="M1826:N1826"/>
    <mergeCell ref="O1826:P1826"/>
    <mergeCell ref="Q1826:U1826"/>
    <mergeCell ref="A1825:B1825"/>
    <mergeCell ref="C1825:E1825"/>
    <mergeCell ref="F1825:I1825"/>
    <mergeCell ref="M1825:N1825"/>
    <mergeCell ref="O1825:P1825"/>
    <mergeCell ref="Q1825:U1825"/>
    <mergeCell ref="A1824:B1824"/>
    <mergeCell ref="C1824:E1824"/>
    <mergeCell ref="F1824:I1824"/>
    <mergeCell ref="M1824:N1824"/>
    <mergeCell ref="O1824:P1824"/>
    <mergeCell ref="Q1824:U1824"/>
    <mergeCell ref="A1823:B1823"/>
    <mergeCell ref="C1823:E1823"/>
    <mergeCell ref="F1823:I1823"/>
    <mergeCell ref="M1823:N1823"/>
    <mergeCell ref="O1823:P1823"/>
    <mergeCell ref="Q1823:U1823"/>
    <mergeCell ref="A1822:B1822"/>
    <mergeCell ref="C1822:E1822"/>
    <mergeCell ref="F1822:I1822"/>
    <mergeCell ref="M1822:N1822"/>
    <mergeCell ref="O1822:P1822"/>
    <mergeCell ref="Q1822:U1822"/>
    <mergeCell ref="A1821:B1821"/>
    <mergeCell ref="C1821:E1821"/>
    <mergeCell ref="F1821:I1821"/>
    <mergeCell ref="M1821:N1821"/>
    <mergeCell ref="O1821:P1821"/>
    <mergeCell ref="Q1821:U1821"/>
    <mergeCell ref="A1839:I1839"/>
    <mergeCell ref="J1839:K1839"/>
    <mergeCell ref="L1839:N1839"/>
    <mergeCell ref="O1839:U1839"/>
    <mergeCell ref="A1840:B1840"/>
    <mergeCell ref="C1840:E1840"/>
    <mergeCell ref="F1840:I1840"/>
    <mergeCell ref="M1840:N1840"/>
    <mergeCell ref="O1840:P1840"/>
    <mergeCell ref="Q1840:U1840"/>
    <mergeCell ref="B1835:G1836"/>
    <mergeCell ref="H1835:M1835"/>
    <mergeCell ref="N1835:S1836"/>
    <mergeCell ref="T1835:W1836"/>
    <mergeCell ref="H1836:M1836"/>
    <mergeCell ref="B1837:D1837"/>
    <mergeCell ref="E1837:Q1838"/>
    <mergeCell ref="R1837:S1838"/>
    <mergeCell ref="T1837:U1838"/>
    <mergeCell ref="S1830:W1830"/>
    <mergeCell ref="C1831:T1831"/>
    <mergeCell ref="A1832:F1834"/>
    <mergeCell ref="G1832:T1832"/>
    <mergeCell ref="G1833:R1833"/>
    <mergeCell ref="G1834:Q1834"/>
    <mergeCell ref="A1828:B1828"/>
    <mergeCell ref="C1828:E1828"/>
    <mergeCell ref="F1828:I1828"/>
    <mergeCell ref="M1828:N1828"/>
    <mergeCell ref="O1828:P1828"/>
    <mergeCell ref="Q1828:U1828"/>
    <mergeCell ref="A1827:B1827"/>
    <mergeCell ref="C1827:E1827"/>
    <mergeCell ref="F1827:I1827"/>
    <mergeCell ref="M1827:N1827"/>
    <mergeCell ref="O1827:P1827"/>
    <mergeCell ref="Q1827:U1827"/>
    <mergeCell ref="A1846:B1846"/>
    <mergeCell ref="C1846:E1846"/>
    <mergeCell ref="F1846:I1846"/>
    <mergeCell ref="M1846:N1846"/>
    <mergeCell ref="O1846:P1846"/>
    <mergeCell ref="Q1846:U1846"/>
    <mergeCell ref="A1845:B1845"/>
    <mergeCell ref="C1845:E1845"/>
    <mergeCell ref="F1845:I1845"/>
    <mergeCell ref="M1845:N1845"/>
    <mergeCell ref="O1845:P1845"/>
    <mergeCell ref="Q1845:U1845"/>
    <mergeCell ref="A1844:B1844"/>
    <mergeCell ref="C1844:E1844"/>
    <mergeCell ref="F1844:I1844"/>
    <mergeCell ref="M1844:N1844"/>
    <mergeCell ref="O1844:P1844"/>
    <mergeCell ref="Q1844:U1844"/>
    <mergeCell ref="A1843:B1843"/>
    <mergeCell ref="C1843:E1843"/>
    <mergeCell ref="F1843:I1843"/>
    <mergeCell ref="M1843:N1843"/>
    <mergeCell ref="O1843:P1843"/>
    <mergeCell ref="Q1843:U1843"/>
    <mergeCell ref="A1842:B1842"/>
    <mergeCell ref="C1842:E1842"/>
    <mergeCell ref="F1842:I1842"/>
    <mergeCell ref="M1842:N1842"/>
    <mergeCell ref="O1842:P1842"/>
    <mergeCell ref="Q1842:U1842"/>
    <mergeCell ref="A1841:B1841"/>
    <mergeCell ref="C1841:E1841"/>
    <mergeCell ref="F1841:I1841"/>
    <mergeCell ref="M1841:N1841"/>
    <mergeCell ref="O1841:P1841"/>
    <mergeCell ref="Q1841:U1841"/>
    <mergeCell ref="A1852:B1852"/>
    <mergeCell ref="C1852:E1852"/>
    <mergeCell ref="F1852:I1852"/>
    <mergeCell ref="M1852:N1852"/>
    <mergeCell ref="O1852:P1852"/>
    <mergeCell ref="Q1852:U1852"/>
    <mergeCell ref="A1851:B1851"/>
    <mergeCell ref="C1851:E1851"/>
    <mergeCell ref="F1851:I1851"/>
    <mergeCell ref="M1851:N1851"/>
    <mergeCell ref="O1851:P1851"/>
    <mergeCell ref="Q1851:U1851"/>
    <mergeCell ref="A1850:B1850"/>
    <mergeCell ref="C1850:E1850"/>
    <mergeCell ref="F1850:I1850"/>
    <mergeCell ref="M1850:N1850"/>
    <mergeCell ref="O1850:P1850"/>
    <mergeCell ref="Q1850:U1850"/>
    <mergeCell ref="A1849:B1849"/>
    <mergeCell ref="C1849:E1849"/>
    <mergeCell ref="F1849:I1849"/>
    <mergeCell ref="M1849:N1849"/>
    <mergeCell ref="O1849:P1849"/>
    <mergeCell ref="Q1849:U1849"/>
    <mergeCell ref="A1848:B1848"/>
    <mergeCell ref="C1848:E1848"/>
    <mergeCell ref="F1848:I1848"/>
    <mergeCell ref="M1848:N1848"/>
    <mergeCell ref="O1848:P1848"/>
    <mergeCell ref="Q1848:U1848"/>
    <mergeCell ref="A1847:B1847"/>
    <mergeCell ref="C1847:E1847"/>
    <mergeCell ref="F1847:I1847"/>
    <mergeCell ref="M1847:N1847"/>
    <mergeCell ref="O1847:P1847"/>
    <mergeCell ref="Q1847:U1847"/>
    <mergeCell ref="A1858:B1858"/>
    <mergeCell ref="C1858:E1858"/>
    <mergeCell ref="F1858:I1858"/>
    <mergeCell ref="M1858:N1858"/>
    <mergeCell ref="O1858:P1858"/>
    <mergeCell ref="Q1858:U1858"/>
    <mergeCell ref="A1857:B1857"/>
    <mergeCell ref="C1857:E1857"/>
    <mergeCell ref="F1857:I1857"/>
    <mergeCell ref="M1857:N1857"/>
    <mergeCell ref="O1857:P1857"/>
    <mergeCell ref="Q1857:U1857"/>
    <mergeCell ref="A1856:B1856"/>
    <mergeCell ref="C1856:E1856"/>
    <mergeCell ref="F1856:I1856"/>
    <mergeCell ref="M1856:N1856"/>
    <mergeCell ref="O1856:P1856"/>
    <mergeCell ref="Q1856:U1856"/>
    <mergeCell ref="A1855:B1855"/>
    <mergeCell ref="C1855:E1855"/>
    <mergeCell ref="F1855:I1855"/>
    <mergeCell ref="M1855:N1855"/>
    <mergeCell ref="O1855:P1855"/>
    <mergeCell ref="Q1855:U1855"/>
    <mergeCell ref="A1854:B1854"/>
    <mergeCell ref="C1854:E1854"/>
    <mergeCell ref="F1854:I1854"/>
    <mergeCell ref="M1854:N1854"/>
    <mergeCell ref="O1854:P1854"/>
    <mergeCell ref="Q1854:U1854"/>
    <mergeCell ref="A1853:B1853"/>
    <mergeCell ref="C1853:E1853"/>
    <mergeCell ref="F1853:I1853"/>
    <mergeCell ref="M1853:N1853"/>
    <mergeCell ref="O1853:P1853"/>
    <mergeCell ref="Q1853:U1853"/>
    <mergeCell ref="S1865:W1865"/>
    <mergeCell ref="C1866:T1866"/>
    <mergeCell ref="A1867:F1869"/>
    <mergeCell ref="G1867:T1867"/>
    <mergeCell ref="G1868:R1868"/>
    <mergeCell ref="G1869:Q1869"/>
    <mergeCell ref="A1863:B1863"/>
    <mergeCell ref="C1863:E1863"/>
    <mergeCell ref="F1863:I1863"/>
    <mergeCell ref="M1863:N1863"/>
    <mergeCell ref="O1863:P1863"/>
    <mergeCell ref="Q1863:U1863"/>
    <mergeCell ref="A1862:B1862"/>
    <mergeCell ref="C1862:E1862"/>
    <mergeCell ref="F1862:I1862"/>
    <mergeCell ref="M1862:N1862"/>
    <mergeCell ref="O1862:P1862"/>
    <mergeCell ref="Q1862:U1862"/>
    <mergeCell ref="A1861:B1861"/>
    <mergeCell ref="C1861:E1861"/>
    <mergeCell ref="F1861:I1861"/>
    <mergeCell ref="M1861:N1861"/>
    <mergeCell ref="O1861:P1861"/>
    <mergeCell ref="Q1861:U1861"/>
    <mergeCell ref="A1860:B1860"/>
    <mergeCell ref="C1860:E1860"/>
    <mergeCell ref="F1860:I1860"/>
    <mergeCell ref="M1860:N1860"/>
    <mergeCell ref="O1860:P1860"/>
    <mergeCell ref="Q1860:U1860"/>
    <mergeCell ref="A1859:B1859"/>
    <mergeCell ref="C1859:E1859"/>
    <mergeCell ref="F1859:I1859"/>
    <mergeCell ref="M1859:N1859"/>
    <mergeCell ref="O1859:P1859"/>
    <mergeCell ref="Q1859:U1859"/>
    <mergeCell ref="A1878:B1878"/>
    <mergeCell ref="C1878:E1878"/>
    <mergeCell ref="F1878:I1878"/>
    <mergeCell ref="M1878:N1878"/>
    <mergeCell ref="O1878:P1878"/>
    <mergeCell ref="Q1878:U1878"/>
    <mergeCell ref="A1877:B1877"/>
    <mergeCell ref="C1877:E1877"/>
    <mergeCell ref="F1877:I1877"/>
    <mergeCell ref="M1877:N1877"/>
    <mergeCell ref="O1877:P1877"/>
    <mergeCell ref="Q1877:U1877"/>
    <mergeCell ref="A1876:B1876"/>
    <mergeCell ref="C1876:E1876"/>
    <mergeCell ref="F1876:I1876"/>
    <mergeCell ref="M1876:N1876"/>
    <mergeCell ref="O1876:P1876"/>
    <mergeCell ref="Q1876:U1876"/>
    <mergeCell ref="A1874:I1874"/>
    <mergeCell ref="J1874:K1874"/>
    <mergeCell ref="L1874:N1874"/>
    <mergeCell ref="O1874:U1874"/>
    <mergeCell ref="A1875:B1875"/>
    <mergeCell ref="C1875:E1875"/>
    <mergeCell ref="F1875:I1875"/>
    <mergeCell ref="M1875:N1875"/>
    <mergeCell ref="O1875:P1875"/>
    <mergeCell ref="Q1875:U1875"/>
    <mergeCell ref="B1870:G1871"/>
    <mergeCell ref="H1870:M1870"/>
    <mergeCell ref="N1870:S1871"/>
    <mergeCell ref="T1870:W1871"/>
    <mergeCell ref="H1871:M1871"/>
    <mergeCell ref="B1872:D1872"/>
    <mergeCell ref="E1872:Q1873"/>
    <mergeCell ref="R1872:S1873"/>
    <mergeCell ref="T1872:U1873"/>
    <mergeCell ref="A1884:B1884"/>
    <mergeCell ref="C1884:E1884"/>
    <mergeCell ref="F1884:I1884"/>
    <mergeCell ref="M1884:N1884"/>
    <mergeCell ref="O1884:P1884"/>
    <mergeCell ref="Q1884:U1884"/>
    <mergeCell ref="A1883:B1883"/>
    <mergeCell ref="C1883:E1883"/>
    <mergeCell ref="F1883:I1883"/>
    <mergeCell ref="M1883:N1883"/>
    <mergeCell ref="O1883:P1883"/>
    <mergeCell ref="Q1883:U1883"/>
    <mergeCell ref="A1882:B1882"/>
    <mergeCell ref="C1882:E1882"/>
    <mergeCell ref="F1882:I1882"/>
    <mergeCell ref="M1882:N1882"/>
    <mergeCell ref="O1882:P1882"/>
    <mergeCell ref="Q1882:U1882"/>
    <mergeCell ref="A1881:B1881"/>
    <mergeCell ref="C1881:E1881"/>
    <mergeCell ref="F1881:I1881"/>
    <mergeCell ref="M1881:N1881"/>
    <mergeCell ref="O1881:P1881"/>
    <mergeCell ref="Q1881:U1881"/>
    <mergeCell ref="A1880:B1880"/>
    <mergeCell ref="C1880:E1880"/>
    <mergeCell ref="F1880:I1880"/>
    <mergeCell ref="M1880:N1880"/>
    <mergeCell ref="O1880:P1880"/>
    <mergeCell ref="Q1880:U1880"/>
    <mergeCell ref="A1879:B1879"/>
    <mergeCell ref="C1879:E1879"/>
    <mergeCell ref="F1879:I1879"/>
    <mergeCell ref="M1879:N1879"/>
    <mergeCell ref="O1879:P1879"/>
    <mergeCell ref="Q1879:U1879"/>
    <mergeCell ref="A1890:B1890"/>
    <mergeCell ref="C1890:E1890"/>
    <mergeCell ref="F1890:I1890"/>
    <mergeCell ref="M1890:N1890"/>
    <mergeCell ref="O1890:P1890"/>
    <mergeCell ref="Q1890:U1890"/>
    <mergeCell ref="A1889:B1889"/>
    <mergeCell ref="C1889:E1889"/>
    <mergeCell ref="F1889:I1889"/>
    <mergeCell ref="M1889:N1889"/>
    <mergeCell ref="O1889:P1889"/>
    <mergeCell ref="Q1889:U1889"/>
    <mergeCell ref="A1888:B1888"/>
    <mergeCell ref="C1888:E1888"/>
    <mergeCell ref="F1888:I1888"/>
    <mergeCell ref="M1888:N1888"/>
    <mergeCell ref="O1888:P1888"/>
    <mergeCell ref="Q1888:U1888"/>
    <mergeCell ref="A1887:B1887"/>
    <mergeCell ref="C1887:E1887"/>
    <mergeCell ref="F1887:I1887"/>
    <mergeCell ref="M1887:N1887"/>
    <mergeCell ref="O1887:P1887"/>
    <mergeCell ref="Q1887:U1887"/>
    <mergeCell ref="A1886:B1886"/>
    <mergeCell ref="C1886:E1886"/>
    <mergeCell ref="F1886:I1886"/>
    <mergeCell ref="M1886:N1886"/>
    <mergeCell ref="O1886:P1886"/>
    <mergeCell ref="Q1886:U1886"/>
    <mergeCell ref="A1885:B1885"/>
    <mergeCell ref="C1885:E1885"/>
    <mergeCell ref="F1885:I1885"/>
    <mergeCell ref="M1885:N1885"/>
    <mergeCell ref="O1885:P1885"/>
    <mergeCell ref="Q1885:U1885"/>
    <mergeCell ref="A1896:B1896"/>
    <mergeCell ref="C1896:E1896"/>
    <mergeCell ref="F1896:I1896"/>
    <mergeCell ref="M1896:N1896"/>
    <mergeCell ref="O1896:P1896"/>
    <mergeCell ref="Q1896:U1896"/>
    <mergeCell ref="A1895:B1895"/>
    <mergeCell ref="C1895:E1895"/>
    <mergeCell ref="F1895:I1895"/>
    <mergeCell ref="M1895:N1895"/>
    <mergeCell ref="O1895:P1895"/>
    <mergeCell ref="Q1895:U1895"/>
    <mergeCell ref="A1894:B1894"/>
    <mergeCell ref="C1894:E1894"/>
    <mergeCell ref="F1894:I1894"/>
    <mergeCell ref="M1894:N1894"/>
    <mergeCell ref="O1894:P1894"/>
    <mergeCell ref="Q1894:U1894"/>
    <mergeCell ref="A1893:B1893"/>
    <mergeCell ref="C1893:E1893"/>
    <mergeCell ref="F1893:I1893"/>
    <mergeCell ref="M1893:N1893"/>
    <mergeCell ref="O1893:P1893"/>
    <mergeCell ref="Q1893:U1893"/>
    <mergeCell ref="A1892:B1892"/>
    <mergeCell ref="C1892:E1892"/>
    <mergeCell ref="F1892:I1892"/>
    <mergeCell ref="M1892:N1892"/>
    <mergeCell ref="O1892:P1892"/>
    <mergeCell ref="Q1892:U1892"/>
    <mergeCell ref="A1891:B1891"/>
    <mergeCell ref="C1891:E1891"/>
    <mergeCell ref="F1891:I1891"/>
    <mergeCell ref="M1891:N1891"/>
    <mergeCell ref="O1891:P1891"/>
    <mergeCell ref="Q1891:U1891"/>
    <mergeCell ref="A1909:I1909"/>
    <mergeCell ref="J1909:K1909"/>
    <mergeCell ref="L1909:N1909"/>
    <mergeCell ref="O1909:U1909"/>
    <mergeCell ref="A1910:B1910"/>
    <mergeCell ref="C1910:E1910"/>
    <mergeCell ref="F1910:I1910"/>
    <mergeCell ref="M1910:N1910"/>
    <mergeCell ref="O1910:P1910"/>
    <mergeCell ref="Q1910:U1910"/>
    <mergeCell ref="B1905:G1906"/>
    <mergeCell ref="H1905:M1905"/>
    <mergeCell ref="N1905:S1906"/>
    <mergeCell ref="T1905:W1906"/>
    <mergeCell ref="H1906:M1906"/>
    <mergeCell ref="B1907:D1907"/>
    <mergeCell ref="E1907:Q1908"/>
    <mergeCell ref="R1907:S1908"/>
    <mergeCell ref="T1907:U1908"/>
    <mergeCell ref="S1900:W1900"/>
    <mergeCell ref="C1901:T1901"/>
    <mergeCell ref="A1902:F1904"/>
    <mergeCell ref="G1902:T1902"/>
    <mergeCell ref="G1903:R1903"/>
    <mergeCell ref="G1904:Q1904"/>
    <mergeCell ref="A1898:B1898"/>
    <mergeCell ref="C1898:E1898"/>
    <mergeCell ref="F1898:I1898"/>
    <mergeCell ref="M1898:N1898"/>
    <mergeCell ref="O1898:P1898"/>
    <mergeCell ref="Q1898:U1898"/>
    <mergeCell ref="A1897:B1897"/>
    <mergeCell ref="C1897:E1897"/>
    <mergeCell ref="F1897:I1897"/>
    <mergeCell ref="M1897:N1897"/>
    <mergeCell ref="O1897:P1897"/>
    <mergeCell ref="Q1897:U1897"/>
    <mergeCell ref="A1916:B1916"/>
    <mergeCell ref="C1916:E1916"/>
    <mergeCell ref="F1916:I1916"/>
    <mergeCell ref="M1916:N1916"/>
    <mergeCell ref="O1916:P1916"/>
    <mergeCell ref="Q1916:U1916"/>
    <mergeCell ref="A1915:B1915"/>
    <mergeCell ref="C1915:E1915"/>
    <mergeCell ref="F1915:I1915"/>
    <mergeCell ref="M1915:N1915"/>
    <mergeCell ref="O1915:P1915"/>
    <mergeCell ref="Q1915:U1915"/>
    <mergeCell ref="A1914:B1914"/>
    <mergeCell ref="C1914:E1914"/>
    <mergeCell ref="F1914:I1914"/>
    <mergeCell ref="M1914:N1914"/>
    <mergeCell ref="O1914:P1914"/>
    <mergeCell ref="Q1914:U1914"/>
    <mergeCell ref="A1913:B1913"/>
    <mergeCell ref="C1913:E1913"/>
    <mergeCell ref="F1913:I1913"/>
    <mergeCell ref="M1913:N1913"/>
    <mergeCell ref="O1913:P1913"/>
    <mergeCell ref="Q1913:U1913"/>
    <mergeCell ref="A1912:B1912"/>
    <mergeCell ref="C1912:E1912"/>
    <mergeCell ref="F1912:I1912"/>
    <mergeCell ref="M1912:N1912"/>
    <mergeCell ref="O1912:P1912"/>
    <mergeCell ref="Q1912:U1912"/>
    <mergeCell ref="A1911:B1911"/>
    <mergeCell ref="C1911:E1911"/>
    <mergeCell ref="F1911:I1911"/>
    <mergeCell ref="M1911:N1911"/>
    <mergeCell ref="O1911:P1911"/>
    <mergeCell ref="Q1911:U1911"/>
    <mergeCell ref="A1922:B1922"/>
    <mergeCell ref="C1922:E1922"/>
    <mergeCell ref="F1922:I1922"/>
    <mergeCell ref="M1922:N1922"/>
    <mergeCell ref="O1922:P1922"/>
    <mergeCell ref="Q1922:U1922"/>
    <mergeCell ref="A1921:B1921"/>
    <mergeCell ref="C1921:E1921"/>
    <mergeCell ref="F1921:I1921"/>
    <mergeCell ref="M1921:N1921"/>
    <mergeCell ref="O1921:P1921"/>
    <mergeCell ref="Q1921:U1921"/>
    <mergeCell ref="A1920:B1920"/>
    <mergeCell ref="C1920:E1920"/>
    <mergeCell ref="F1920:I1920"/>
    <mergeCell ref="M1920:N1920"/>
    <mergeCell ref="O1920:P1920"/>
    <mergeCell ref="Q1920:U1920"/>
    <mergeCell ref="A1919:B1919"/>
    <mergeCell ref="C1919:E1919"/>
    <mergeCell ref="F1919:I1919"/>
    <mergeCell ref="M1919:N1919"/>
    <mergeCell ref="O1919:P1919"/>
    <mergeCell ref="Q1919:U1919"/>
    <mergeCell ref="A1918:B1918"/>
    <mergeCell ref="C1918:E1918"/>
    <mergeCell ref="F1918:I1918"/>
    <mergeCell ref="M1918:N1918"/>
    <mergeCell ref="O1918:P1918"/>
    <mergeCell ref="Q1918:U1918"/>
    <mergeCell ref="A1917:B1917"/>
    <mergeCell ref="C1917:E1917"/>
    <mergeCell ref="F1917:I1917"/>
    <mergeCell ref="M1917:N1917"/>
    <mergeCell ref="O1917:P1917"/>
    <mergeCell ref="Q1917:U1917"/>
    <mergeCell ref="A1928:B1928"/>
    <mergeCell ref="C1928:E1928"/>
    <mergeCell ref="F1928:I1928"/>
    <mergeCell ref="M1928:N1928"/>
    <mergeCell ref="O1928:P1928"/>
    <mergeCell ref="Q1928:U1928"/>
    <mergeCell ref="A1927:B1927"/>
    <mergeCell ref="C1927:E1927"/>
    <mergeCell ref="F1927:I1927"/>
    <mergeCell ref="M1927:N1927"/>
    <mergeCell ref="O1927:P1927"/>
    <mergeCell ref="Q1927:U1927"/>
    <mergeCell ref="A1926:B1926"/>
    <mergeCell ref="C1926:E1926"/>
    <mergeCell ref="F1926:I1926"/>
    <mergeCell ref="M1926:N1926"/>
    <mergeCell ref="O1926:P1926"/>
    <mergeCell ref="Q1926:U1926"/>
    <mergeCell ref="A1925:B1925"/>
    <mergeCell ref="C1925:E1925"/>
    <mergeCell ref="F1925:I1925"/>
    <mergeCell ref="M1925:N1925"/>
    <mergeCell ref="O1925:P1925"/>
    <mergeCell ref="Q1925:U1925"/>
    <mergeCell ref="A1924:B1924"/>
    <mergeCell ref="C1924:E1924"/>
    <mergeCell ref="F1924:I1924"/>
    <mergeCell ref="M1924:N1924"/>
    <mergeCell ref="O1924:P1924"/>
    <mergeCell ref="Q1924:U1924"/>
    <mergeCell ref="A1923:B1923"/>
    <mergeCell ref="C1923:E1923"/>
    <mergeCell ref="F1923:I1923"/>
    <mergeCell ref="M1923:N1923"/>
    <mergeCell ref="O1923:P1923"/>
    <mergeCell ref="Q1923:U1923"/>
    <mergeCell ref="S1935:W1935"/>
    <mergeCell ref="C1936:T1936"/>
    <mergeCell ref="A1937:F1939"/>
    <mergeCell ref="G1937:T1937"/>
    <mergeCell ref="G1938:R1938"/>
    <mergeCell ref="G1939:Q1939"/>
    <mergeCell ref="A1933:B1933"/>
    <mergeCell ref="C1933:E1933"/>
    <mergeCell ref="F1933:I1933"/>
    <mergeCell ref="M1933:N1933"/>
    <mergeCell ref="O1933:P1933"/>
    <mergeCell ref="Q1933:U1933"/>
    <mergeCell ref="A1932:B1932"/>
    <mergeCell ref="C1932:E1932"/>
    <mergeCell ref="F1932:I1932"/>
    <mergeCell ref="M1932:N1932"/>
    <mergeCell ref="O1932:P1932"/>
    <mergeCell ref="Q1932:U1932"/>
    <mergeCell ref="A1931:B1931"/>
    <mergeCell ref="C1931:E1931"/>
    <mergeCell ref="F1931:I1931"/>
    <mergeCell ref="M1931:N1931"/>
    <mergeCell ref="O1931:P1931"/>
    <mergeCell ref="Q1931:U1931"/>
    <mergeCell ref="A1930:B1930"/>
    <mergeCell ref="C1930:E1930"/>
    <mergeCell ref="F1930:I1930"/>
    <mergeCell ref="M1930:N1930"/>
    <mergeCell ref="O1930:P1930"/>
    <mergeCell ref="Q1930:U1930"/>
    <mergeCell ref="A1929:B1929"/>
    <mergeCell ref="C1929:E1929"/>
    <mergeCell ref="F1929:I1929"/>
    <mergeCell ref="M1929:N1929"/>
    <mergeCell ref="O1929:P1929"/>
    <mergeCell ref="Q1929:U1929"/>
    <mergeCell ref="A1948:B1948"/>
    <mergeCell ref="C1948:E1948"/>
    <mergeCell ref="F1948:I1948"/>
    <mergeCell ref="M1948:N1948"/>
    <mergeCell ref="O1948:P1948"/>
    <mergeCell ref="Q1948:U1948"/>
    <mergeCell ref="A1947:B1947"/>
    <mergeCell ref="C1947:E1947"/>
    <mergeCell ref="F1947:I1947"/>
    <mergeCell ref="M1947:N1947"/>
    <mergeCell ref="O1947:P1947"/>
    <mergeCell ref="Q1947:U1947"/>
    <mergeCell ref="A1946:B1946"/>
    <mergeCell ref="C1946:E1946"/>
    <mergeCell ref="F1946:I1946"/>
    <mergeCell ref="M1946:N1946"/>
    <mergeCell ref="O1946:P1946"/>
    <mergeCell ref="Q1946:U1946"/>
    <mergeCell ref="A1944:I1944"/>
    <mergeCell ref="J1944:K1944"/>
    <mergeCell ref="L1944:N1944"/>
    <mergeCell ref="O1944:U1944"/>
    <mergeCell ref="A1945:B1945"/>
    <mergeCell ref="C1945:E1945"/>
    <mergeCell ref="F1945:I1945"/>
    <mergeCell ref="M1945:N1945"/>
    <mergeCell ref="O1945:P1945"/>
    <mergeCell ref="Q1945:U1945"/>
    <mergeCell ref="B1940:G1941"/>
    <mergeCell ref="H1940:M1940"/>
    <mergeCell ref="N1940:S1941"/>
    <mergeCell ref="T1940:W1941"/>
    <mergeCell ref="H1941:M1941"/>
    <mergeCell ref="B1942:D1942"/>
    <mergeCell ref="E1942:Q1943"/>
    <mergeCell ref="R1942:S1943"/>
    <mergeCell ref="T1942:U1943"/>
    <mergeCell ref="A1954:B1954"/>
    <mergeCell ref="C1954:E1954"/>
    <mergeCell ref="F1954:I1954"/>
    <mergeCell ref="M1954:N1954"/>
    <mergeCell ref="O1954:P1954"/>
    <mergeCell ref="Q1954:U1954"/>
    <mergeCell ref="A1953:B1953"/>
    <mergeCell ref="C1953:E1953"/>
    <mergeCell ref="F1953:I1953"/>
    <mergeCell ref="M1953:N1953"/>
    <mergeCell ref="O1953:P1953"/>
    <mergeCell ref="Q1953:U1953"/>
    <mergeCell ref="A1952:B1952"/>
    <mergeCell ref="C1952:E1952"/>
    <mergeCell ref="F1952:I1952"/>
    <mergeCell ref="M1952:N1952"/>
    <mergeCell ref="O1952:P1952"/>
    <mergeCell ref="Q1952:U1952"/>
    <mergeCell ref="A1951:B1951"/>
    <mergeCell ref="C1951:E1951"/>
    <mergeCell ref="F1951:I1951"/>
    <mergeCell ref="M1951:N1951"/>
    <mergeCell ref="O1951:P1951"/>
    <mergeCell ref="Q1951:U1951"/>
    <mergeCell ref="A1950:B1950"/>
    <mergeCell ref="C1950:E1950"/>
    <mergeCell ref="F1950:I1950"/>
    <mergeCell ref="M1950:N1950"/>
    <mergeCell ref="O1950:P1950"/>
    <mergeCell ref="Q1950:U1950"/>
    <mergeCell ref="A1949:B1949"/>
    <mergeCell ref="C1949:E1949"/>
    <mergeCell ref="F1949:I1949"/>
    <mergeCell ref="M1949:N1949"/>
    <mergeCell ref="O1949:P1949"/>
    <mergeCell ref="Q1949:U1949"/>
    <mergeCell ref="A1960:B1960"/>
    <mergeCell ref="C1960:E1960"/>
    <mergeCell ref="F1960:I1960"/>
    <mergeCell ref="M1960:N1960"/>
    <mergeCell ref="O1960:P1960"/>
    <mergeCell ref="Q1960:U1960"/>
    <mergeCell ref="A1959:B1959"/>
    <mergeCell ref="C1959:E1959"/>
    <mergeCell ref="F1959:I1959"/>
    <mergeCell ref="M1959:N1959"/>
    <mergeCell ref="O1959:P1959"/>
    <mergeCell ref="Q1959:U1959"/>
    <mergeCell ref="A1958:B1958"/>
    <mergeCell ref="C1958:E1958"/>
    <mergeCell ref="F1958:I1958"/>
    <mergeCell ref="M1958:N1958"/>
    <mergeCell ref="O1958:P1958"/>
    <mergeCell ref="Q1958:U1958"/>
    <mergeCell ref="A1957:B1957"/>
    <mergeCell ref="C1957:E1957"/>
    <mergeCell ref="F1957:I1957"/>
    <mergeCell ref="M1957:N1957"/>
    <mergeCell ref="O1957:P1957"/>
    <mergeCell ref="Q1957:U1957"/>
    <mergeCell ref="A1956:B1956"/>
    <mergeCell ref="C1956:E1956"/>
    <mergeCell ref="F1956:I1956"/>
    <mergeCell ref="M1956:N1956"/>
    <mergeCell ref="O1956:P1956"/>
    <mergeCell ref="Q1956:U1956"/>
    <mergeCell ref="A1955:B1955"/>
    <mergeCell ref="C1955:E1955"/>
    <mergeCell ref="F1955:I1955"/>
    <mergeCell ref="M1955:N1955"/>
    <mergeCell ref="O1955:P1955"/>
    <mergeCell ref="Q1955:U1955"/>
    <mergeCell ref="A1966:B1966"/>
    <mergeCell ref="C1966:E1966"/>
    <mergeCell ref="F1966:I1966"/>
    <mergeCell ref="M1966:N1966"/>
    <mergeCell ref="O1966:P1966"/>
    <mergeCell ref="Q1966:U1966"/>
    <mergeCell ref="A1965:B1965"/>
    <mergeCell ref="C1965:E1965"/>
    <mergeCell ref="F1965:I1965"/>
    <mergeCell ref="M1965:N1965"/>
    <mergeCell ref="O1965:P1965"/>
    <mergeCell ref="Q1965:U1965"/>
    <mergeCell ref="A1964:B1964"/>
    <mergeCell ref="C1964:E1964"/>
    <mergeCell ref="F1964:I1964"/>
    <mergeCell ref="M1964:N1964"/>
    <mergeCell ref="O1964:P1964"/>
    <mergeCell ref="Q1964:U1964"/>
    <mergeCell ref="A1963:B1963"/>
    <mergeCell ref="C1963:E1963"/>
    <mergeCell ref="F1963:I1963"/>
    <mergeCell ref="M1963:N1963"/>
    <mergeCell ref="O1963:P1963"/>
    <mergeCell ref="Q1963:U1963"/>
    <mergeCell ref="A1962:B1962"/>
    <mergeCell ref="C1962:E1962"/>
    <mergeCell ref="F1962:I1962"/>
    <mergeCell ref="M1962:N1962"/>
    <mergeCell ref="O1962:P1962"/>
    <mergeCell ref="Q1962:U1962"/>
    <mergeCell ref="A1961:B1961"/>
    <mergeCell ref="C1961:E1961"/>
    <mergeCell ref="F1961:I1961"/>
    <mergeCell ref="M1961:N1961"/>
    <mergeCell ref="O1961:P1961"/>
    <mergeCell ref="Q1961:U1961"/>
    <mergeCell ref="A1979:I1979"/>
    <mergeCell ref="J1979:K1979"/>
    <mergeCell ref="L1979:N1979"/>
    <mergeCell ref="O1979:U1979"/>
    <mergeCell ref="A1980:B1980"/>
    <mergeCell ref="C1980:E1980"/>
    <mergeCell ref="F1980:I1980"/>
    <mergeCell ref="M1980:N1980"/>
    <mergeCell ref="O1980:P1980"/>
    <mergeCell ref="Q1980:U1980"/>
    <mergeCell ref="B1975:G1976"/>
    <mergeCell ref="H1975:M1975"/>
    <mergeCell ref="N1975:S1976"/>
    <mergeCell ref="T1975:W1976"/>
    <mergeCell ref="H1976:M1976"/>
    <mergeCell ref="B1977:D1977"/>
    <mergeCell ref="E1977:Q1978"/>
    <mergeCell ref="R1977:S1978"/>
    <mergeCell ref="T1977:U1978"/>
    <mergeCell ref="S1970:W1970"/>
    <mergeCell ref="C1971:T1971"/>
    <mergeCell ref="A1972:F1974"/>
    <mergeCell ref="G1972:T1972"/>
    <mergeCell ref="G1973:R1973"/>
    <mergeCell ref="G1974:Q1974"/>
    <mergeCell ref="A1968:B1968"/>
    <mergeCell ref="C1968:E1968"/>
    <mergeCell ref="F1968:I1968"/>
    <mergeCell ref="M1968:N1968"/>
    <mergeCell ref="O1968:P1968"/>
    <mergeCell ref="Q1968:U1968"/>
    <mergeCell ref="A1967:B1967"/>
    <mergeCell ref="C1967:E1967"/>
    <mergeCell ref="F1967:I1967"/>
    <mergeCell ref="M1967:N1967"/>
    <mergeCell ref="O1967:P1967"/>
    <mergeCell ref="Q1967:U1967"/>
    <mergeCell ref="A1986:B1986"/>
    <mergeCell ref="C1986:E1986"/>
    <mergeCell ref="F1986:I1986"/>
    <mergeCell ref="M1986:N1986"/>
    <mergeCell ref="O1986:P1986"/>
    <mergeCell ref="Q1986:U1986"/>
    <mergeCell ref="A1985:B1985"/>
    <mergeCell ref="C1985:E1985"/>
    <mergeCell ref="F1985:I1985"/>
    <mergeCell ref="M1985:N1985"/>
    <mergeCell ref="O1985:P1985"/>
    <mergeCell ref="Q1985:U1985"/>
    <mergeCell ref="A1984:B1984"/>
    <mergeCell ref="C1984:E1984"/>
    <mergeCell ref="F1984:I1984"/>
    <mergeCell ref="M1984:N1984"/>
    <mergeCell ref="O1984:P1984"/>
    <mergeCell ref="Q1984:U1984"/>
    <mergeCell ref="A1983:B1983"/>
    <mergeCell ref="C1983:E1983"/>
    <mergeCell ref="F1983:I1983"/>
    <mergeCell ref="M1983:N1983"/>
    <mergeCell ref="O1983:P1983"/>
    <mergeCell ref="Q1983:U1983"/>
    <mergeCell ref="A1982:B1982"/>
    <mergeCell ref="C1982:E1982"/>
    <mergeCell ref="F1982:I1982"/>
    <mergeCell ref="M1982:N1982"/>
    <mergeCell ref="O1982:P1982"/>
    <mergeCell ref="Q1982:U1982"/>
    <mergeCell ref="A1981:B1981"/>
    <mergeCell ref="C1981:E1981"/>
    <mergeCell ref="F1981:I1981"/>
    <mergeCell ref="M1981:N1981"/>
    <mergeCell ref="O1981:P1981"/>
    <mergeCell ref="Q1981:U1981"/>
    <mergeCell ref="A1992:B1992"/>
    <mergeCell ref="C1992:E1992"/>
    <mergeCell ref="F1992:I1992"/>
    <mergeCell ref="M1992:N1992"/>
    <mergeCell ref="O1992:P1992"/>
    <mergeCell ref="Q1992:U1992"/>
    <mergeCell ref="A1991:B1991"/>
    <mergeCell ref="C1991:E1991"/>
    <mergeCell ref="F1991:I1991"/>
    <mergeCell ref="M1991:N1991"/>
    <mergeCell ref="O1991:P1991"/>
    <mergeCell ref="Q1991:U1991"/>
    <mergeCell ref="A1990:B1990"/>
    <mergeCell ref="C1990:E1990"/>
    <mergeCell ref="F1990:I1990"/>
    <mergeCell ref="M1990:N1990"/>
    <mergeCell ref="O1990:P1990"/>
    <mergeCell ref="Q1990:U1990"/>
    <mergeCell ref="A1989:B1989"/>
    <mergeCell ref="C1989:E1989"/>
    <mergeCell ref="F1989:I1989"/>
    <mergeCell ref="M1989:N1989"/>
    <mergeCell ref="O1989:P1989"/>
    <mergeCell ref="Q1989:U1989"/>
    <mergeCell ref="A1988:B1988"/>
    <mergeCell ref="C1988:E1988"/>
    <mergeCell ref="F1988:I1988"/>
    <mergeCell ref="M1988:N1988"/>
    <mergeCell ref="O1988:P1988"/>
    <mergeCell ref="Q1988:U1988"/>
    <mergeCell ref="A1987:B1987"/>
    <mergeCell ref="C1987:E1987"/>
    <mergeCell ref="F1987:I1987"/>
    <mergeCell ref="M1987:N1987"/>
    <mergeCell ref="O1987:P1987"/>
    <mergeCell ref="Q1987:U1987"/>
    <mergeCell ref="A1998:B1998"/>
    <mergeCell ref="C1998:E1998"/>
    <mergeCell ref="F1998:I1998"/>
    <mergeCell ref="M1998:N1998"/>
    <mergeCell ref="O1998:P1998"/>
    <mergeCell ref="Q1998:U1998"/>
    <mergeCell ref="A1997:B1997"/>
    <mergeCell ref="C1997:E1997"/>
    <mergeCell ref="F1997:I1997"/>
    <mergeCell ref="M1997:N1997"/>
    <mergeCell ref="O1997:P1997"/>
    <mergeCell ref="Q1997:U1997"/>
    <mergeCell ref="A1996:B1996"/>
    <mergeCell ref="C1996:E1996"/>
    <mergeCell ref="F1996:I1996"/>
    <mergeCell ref="M1996:N1996"/>
    <mergeCell ref="O1996:P1996"/>
    <mergeCell ref="Q1996:U1996"/>
    <mergeCell ref="A1995:B1995"/>
    <mergeCell ref="C1995:E1995"/>
    <mergeCell ref="F1995:I1995"/>
    <mergeCell ref="M1995:N1995"/>
    <mergeCell ref="O1995:P1995"/>
    <mergeCell ref="Q1995:U1995"/>
    <mergeCell ref="A1994:B1994"/>
    <mergeCell ref="C1994:E1994"/>
    <mergeCell ref="F1994:I1994"/>
    <mergeCell ref="M1994:N1994"/>
    <mergeCell ref="O1994:P1994"/>
    <mergeCell ref="Q1994:U1994"/>
    <mergeCell ref="A1993:B1993"/>
    <mergeCell ref="C1993:E1993"/>
    <mergeCell ref="F1993:I1993"/>
    <mergeCell ref="M1993:N1993"/>
    <mergeCell ref="O1993:P1993"/>
    <mergeCell ref="Q1993:U1993"/>
    <mergeCell ref="S2005:W2005"/>
    <mergeCell ref="C2006:T2006"/>
    <mergeCell ref="A2007:F2009"/>
    <mergeCell ref="G2007:T2007"/>
    <mergeCell ref="G2008:R2008"/>
    <mergeCell ref="G2009:Q2009"/>
    <mergeCell ref="A2003:B2003"/>
    <mergeCell ref="C2003:E2003"/>
    <mergeCell ref="F2003:I2003"/>
    <mergeCell ref="M2003:N2003"/>
    <mergeCell ref="O2003:P2003"/>
    <mergeCell ref="Q2003:U2003"/>
    <mergeCell ref="A2002:B2002"/>
    <mergeCell ref="C2002:E2002"/>
    <mergeCell ref="F2002:I2002"/>
    <mergeCell ref="M2002:N2002"/>
    <mergeCell ref="O2002:P2002"/>
    <mergeCell ref="Q2002:U2002"/>
    <mergeCell ref="A2001:B2001"/>
    <mergeCell ref="C2001:E2001"/>
    <mergeCell ref="F2001:I2001"/>
    <mergeCell ref="M2001:N2001"/>
    <mergeCell ref="O2001:P2001"/>
    <mergeCell ref="Q2001:U2001"/>
    <mergeCell ref="A2000:B2000"/>
    <mergeCell ref="C2000:E2000"/>
    <mergeCell ref="F2000:I2000"/>
    <mergeCell ref="M2000:N2000"/>
    <mergeCell ref="O2000:P2000"/>
    <mergeCell ref="Q2000:U2000"/>
    <mergeCell ref="A1999:B1999"/>
    <mergeCell ref="C1999:E1999"/>
    <mergeCell ref="F1999:I1999"/>
    <mergeCell ref="M1999:N1999"/>
    <mergeCell ref="O1999:P1999"/>
    <mergeCell ref="Q1999:U1999"/>
    <mergeCell ref="A2018:B2018"/>
    <mergeCell ref="C2018:E2018"/>
    <mergeCell ref="F2018:I2018"/>
    <mergeCell ref="M2018:N2018"/>
    <mergeCell ref="O2018:P2018"/>
    <mergeCell ref="Q2018:U2018"/>
    <mergeCell ref="A2017:B2017"/>
    <mergeCell ref="C2017:E2017"/>
    <mergeCell ref="F2017:I2017"/>
    <mergeCell ref="M2017:N2017"/>
    <mergeCell ref="O2017:P2017"/>
    <mergeCell ref="Q2017:U2017"/>
    <mergeCell ref="A2016:B2016"/>
    <mergeCell ref="C2016:E2016"/>
    <mergeCell ref="F2016:I2016"/>
    <mergeCell ref="M2016:N2016"/>
    <mergeCell ref="O2016:P2016"/>
    <mergeCell ref="Q2016:U2016"/>
    <mergeCell ref="A2014:I2014"/>
    <mergeCell ref="J2014:K2014"/>
    <mergeCell ref="L2014:N2014"/>
    <mergeCell ref="O2014:U2014"/>
    <mergeCell ref="A2015:B2015"/>
    <mergeCell ref="C2015:E2015"/>
    <mergeCell ref="F2015:I2015"/>
    <mergeCell ref="M2015:N2015"/>
    <mergeCell ref="O2015:P2015"/>
    <mergeCell ref="Q2015:U2015"/>
    <mergeCell ref="B2010:G2011"/>
    <mergeCell ref="H2010:M2010"/>
    <mergeCell ref="N2010:S2011"/>
    <mergeCell ref="T2010:W2011"/>
    <mergeCell ref="H2011:M2011"/>
    <mergeCell ref="B2012:D2012"/>
    <mergeCell ref="E2012:Q2013"/>
    <mergeCell ref="R2012:S2013"/>
    <mergeCell ref="T2012:U2013"/>
    <mergeCell ref="A2024:B2024"/>
    <mergeCell ref="C2024:E2024"/>
    <mergeCell ref="F2024:I2024"/>
    <mergeCell ref="M2024:N2024"/>
    <mergeCell ref="O2024:P2024"/>
    <mergeCell ref="Q2024:U2024"/>
    <mergeCell ref="A2023:B2023"/>
    <mergeCell ref="C2023:E2023"/>
    <mergeCell ref="F2023:I2023"/>
    <mergeCell ref="M2023:N2023"/>
    <mergeCell ref="O2023:P2023"/>
    <mergeCell ref="Q2023:U2023"/>
    <mergeCell ref="A2022:B2022"/>
    <mergeCell ref="C2022:E2022"/>
    <mergeCell ref="F2022:I2022"/>
    <mergeCell ref="M2022:N2022"/>
    <mergeCell ref="O2022:P2022"/>
    <mergeCell ref="Q2022:U2022"/>
    <mergeCell ref="A2021:B2021"/>
    <mergeCell ref="C2021:E2021"/>
    <mergeCell ref="F2021:I2021"/>
    <mergeCell ref="M2021:N2021"/>
    <mergeCell ref="O2021:P2021"/>
    <mergeCell ref="Q2021:U2021"/>
    <mergeCell ref="A2020:B2020"/>
    <mergeCell ref="C2020:E2020"/>
    <mergeCell ref="F2020:I2020"/>
    <mergeCell ref="M2020:N2020"/>
    <mergeCell ref="O2020:P2020"/>
    <mergeCell ref="Q2020:U2020"/>
    <mergeCell ref="A2019:B2019"/>
    <mergeCell ref="C2019:E2019"/>
    <mergeCell ref="F2019:I2019"/>
    <mergeCell ref="M2019:N2019"/>
    <mergeCell ref="O2019:P2019"/>
    <mergeCell ref="Q2019:U2019"/>
    <mergeCell ref="A2030:B2030"/>
    <mergeCell ref="C2030:E2030"/>
    <mergeCell ref="F2030:I2030"/>
    <mergeCell ref="M2030:N2030"/>
    <mergeCell ref="O2030:P2030"/>
    <mergeCell ref="Q2030:U2030"/>
    <mergeCell ref="A2029:B2029"/>
    <mergeCell ref="C2029:E2029"/>
    <mergeCell ref="F2029:I2029"/>
    <mergeCell ref="M2029:N2029"/>
    <mergeCell ref="O2029:P2029"/>
    <mergeCell ref="Q2029:U2029"/>
    <mergeCell ref="A2028:B2028"/>
    <mergeCell ref="C2028:E2028"/>
    <mergeCell ref="F2028:I2028"/>
    <mergeCell ref="M2028:N2028"/>
    <mergeCell ref="O2028:P2028"/>
    <mergeCell ref="Q2028:U2028"/>
    <mergeCell ref="A2027:B2027"/>
    <mergeCell ref="C2027:E2027"/>
    <mergeCell ref="F2027:I2027"/>
    <mergeCell ref="M2027:N2027"/>
    <mergeCell ref="O2027:P2027"/>
    <mergeCell ref="Q2027:U2027"/>
    <mergeCell ref="A2026:B2026"/>
    <mergeCell ref="C2026:E2026"/>
    <mergeCell ref="F2026:I2026"/>
    <mergeCell ref="M2026:N2026"/>
    <mergeCell ref="O2026:P2026"/>
    <mergeCell ref="Q2026:U2026"/>
    <mergeCell ref="A2025:B2025"/>
    <mergeCell ref="C2025:E2025"/>
    <mergeCell ref="F2025:I2025"/>
    <mergeCell ref="M2025:N2025"/>
    <mergeCell ref="O2025:P2025"/>
    <mergeCell ref="Q2025:U2025"/>
    <mergeCell ref="A2036:B2036"/>
    <mergeCell ref="C2036:E2036"/>
    <mergeCell ref="F2036:I2036"/>
    <mergeCell ref="M2036:N2036"/>
    <mergeCell ref="O2036:P2036"/>
    <mergeCell ref="Q2036:U2036"/>
    <mergeCell ref="A2035:B2035"/>
    <mergeCell ref="C2035:E2035"/>
    <mergeCell ref="F2035:I2035"/>
    <mergeCell ref="M2035:N2035"/>
    <mergeCell ref="O2035:P2035"/>
    <mergeCell ref="Q2035:U2035"/>
    <mergeCell ref="A2034:B2034"/>
    <mergeCell ref="C2034:E2034"/>
    <mergeCell ref="F2034:I2034"/>
    <mergeCell ref="M2034:N2034"/>
    <mergeCell ref="O2034:P2034"/>
    <mergeCell ref="Q2034:U2034"/>
    <mergeCell ref="A2033:B2033"/>
    <mergeCell ref="C2033:E2033"/>
    <mergeCell ref="F2033:I2033"/>
    <mergeCell ref="M2033:N2033"/>
    <mergeCell ref="O2033:P2033"/>
    <mergeCell ref="Q2033:U2033"/>
    <mergeCell ref="A2032:B2032"/>
    <mergeCell ref="C2032:E2032"/>
    <mergeCell ref="F2032:I2032"/>
    <mergeCell ref="M2032:N2032"/>
    <mergeCell ref="O2032:P2032"/>
    <mergeCell ref="Q2032:U2032"/>
    <mergeCell ref="A2031:B2031"/>
    <mergeCell ref="C2031:E2031"/>
    <mergeCell ref="F2031:I2031"/>
    <mergeCell ref="M2031:N2031"/>
    <mergeCell ref="O2031:P2031"/>
    <mergeCell ref="Q2031:U2031"/>
    <mergeCell ref="A2049:I2049"/>
    <mergeCell ref="J2049:K2049"/>
    <mergeCell ref="L2049:N2049"/>
    <mergeCell ref="O2049:U2049"/>
    <mergeCell ref="A2050:B2050"/>
    <mergeCell ref="C2050:E2050"/>
    <mergeCell ref="F2050:I2050"/>
    <mergeCell ref="M2050:N2050"/>
    <mergeCell ref="O2050:P2050"/>
    <mergeCell ref="Q2050:U2050"/>
    <mergeCell ref="B2045:G2046"/>
    <mergeCell ref="H2045:M2045"/>
    <mergeCell ref="N2045:S2046"/>
    <mergeCell ref="T2045:W2046"/>
    <mergeCell ref="H2046:M2046"/>
    <mergeCell ref="B2047:D2047"/>
    <mergeCell ref="E2047:Q2048"/>
    <mergeCell ref="R2047:S2048"/>
    <mergeCell ref="T2047:U2048"/>
    <mergeCell ref="S2040:W2040"/>
    <mergeCell ref="C2041:T2041"/>
    <mergeCell ref="A2042:F2044"/>
    <mergeCell ref="G2042:T2042"/>
    <mergeCell ref="G2043:R2043"/>
    <mergeCell ref="G2044:Q2044"/>
    <mergeCell ref="A2038:B2038"/>
    <mergeCell ref="C2038:E2038"/>
    <mergeCell ref="F2038:I2038"/>
    <mergeCell ref="M2038:N2038"/>
    <mergeCell ref="O2038:P2038"/>
    <mergeCell ref="Q2038:U2038"/>
    <mergeCell ref="A2037:B2037"/>
    <mergeCell ref="C2037:E2037"/>
    <mergeCell ref="F2037:I2037"/>
    <mergeCell ref="M2037:N2037"/>
    <mergeCell ref="O2037:P2037"/>
    <mergeCell ref="Q2037:U2037"/>
    <mergeCell ref="A2056:B2056"/>
    <mergeCell ref="C2056:E2056"/>
    <mergeCell ref="F2056:I2056"/>
    <mergeCell ref="M2056:N2056"/>
    <mergeCell ref="O2056:P2056"/>
    <mergeCell ref="Q2056:U2056"/>
    <mergeCell ref="A2055:B2055"/>
    <mergeCell ref="C2055:E2055"/>
    <mergeCell ref="F2055:I2055"/>
    <mergeCell ref="M2055:N2055"/>
    <mergeCell ref="O2055:P2055"/>
    <mergeCell ref="Q2055:U2055"/>
    <mergeCell ref="A2054:B2054"/>
    <mergeCell ref="C2054:E2054"/>
    <mergeCell ref="F2054:I2054"/>
    <mergeCell ref="M2054:N2054"/>
    <mergeCell ref="O2054:P2054"/>
    <mergeCell ref="Q2054:U2054"/>
    <mergeCell ref="A2053:B2053"/>
    <mergeCell ref="C2053:E2053"/>
    <mergeCell ref="F2053:I2053"/>
    <mergeCell ref="M2053:N2053"/>
    <mergeCell ref="O2053:P2053"/>
    <mergeCell ref="Q2053:U2053"/>
    <mergeCell ref="A2052:B2052"/>
    <mergeCell ref="C2052:E2052"/>
    <mergeCell ref="F2052:I2052"/>
    <mergeCell ref="M2052:N2052"/>
    <mergeCell ref="O2052:P2052"/>
    <mergeCell ref="Q2052:U2052"/>
    <mergeCell ref="A2051:B2051"/>
    <mergeCell ref="C2051:E2051"/>
    <mergeCell ref="F2051:I2051"/>
    <mergeCell ref="M2051:N2051"/>
    <mergeCell ref="O2051:P2051"/>
    <mergeCell ref="Q2051:U2051"/>
    <mergeCell ref="A2062:B2062"/>
    <mergeCell ref="C2062:E2062"/>
    <mergeCell ref="F2062:I2062"/>
    <mergeCell ref="M2062:N2062"/>
    <mergeCell ref="O2062:P2062"/>
    <mergeCell ref="Q2062:U2062"/>
    <mergeCell ref="A2061:B2061"/>
    <mergeCell ref="C2061:E2061"/>
    <mergeCell ref="F2061:I2061"/>
    <mergeCell ref="M2061:N2061"/>
    <mergeCell ref="O2061:P2061"/>
    <mergeCell ref="Q2061:U2061"/>
    <mergeCell ref="A2060:B2060"/>
    <mergeCell ref="C2060:E2060"/>
    <mergeCell ref="F2060:I2060"/>
    <mergeCell ref="M2060:N2060"/>
    <mergeCell ref="O2060:P2060"/>
    <mergeCell ref="Q2060:U2060"/>
    <mergeCell ref="A2059:B2059"/>
    <mergeCell ref="C2059:E2059"/>
    <mergeCell ref="F2059:I2059"/>
    <mergeCell ref="M2059:N2059"/>
    <mergeCell ref="O2059:P2059"/>
    <mergeCell ref="Q2059:U2059"/>
    <mergeCell ref="A2058:B2058"/>
    <mergeCell ref="C2058:E2058"/>
    <mergeCell ref="F2058:I2058"/>
    <mergeCell ref="M2058:N2058"/>
    <mergeCell ref="O2058:P2058"/>
    <mergeCell ref="Q2058:U2058"/>
    <mergeCell ref="A2057:B2057"/>
    <mergeCell ref="C2057:E2057"/>
    <mergeCell ref="F2057:I2057"/>
    <mergeCell ref="M2057:N2057"/>
    <mergeCell ref="O2057:P2057"/>
    <mergeCell ref="Q2057:U2057"/>
    <mergeCell ref="A2068:B2068"/>
    <mergeCell ref="C2068:E2068"/>
    <mergeCell ref="F2068:I2068"/>
    <mergeCell ref="M2068:N2068"/>
    <mergeCell ref="O2068:P2068"/>
    <mergeCell ref="Q2068:U2068"/>
    <mergeCell ref="A2067:B2067"/>
    <mergeCell ref="C2067:E2067"/>
    <mergeCell ref="F2067:I2067"/>
    <mergeCell ref="M2067:N2067"/>
    <mergeCell ref="O2067:P2067"/>
    <mergeCell ref="Q2067:U2067"/>
    <mergeCell ref="A2066:B2066"/>
    <mergeCell ref="C2066:E2066"/>
    <mergeCell ref="F2066:I2066"/>
    <mergeCell ref="M2066:N2066"/>
    <mergeCell ref="O2066:P2066"/>
    <mergeCell ref="Q2066:U2066"/>
    <mergeCell ref="A2065:B2065"/>
    <mergeCell ref="C2065:E2065"/>
    <mergeCell ref="F2065:I2065"/>
    <mergeCell ref="M2065:N2065"/>
    <mergeCell ref="O2065:P2065"/>
    <mergeCell ref="Q2065:U2065"/>
    <mergeCell ref="A2064:B2064"/>
    <mergeCell ref="C2064:E2064"/>
    <mergeCell ref="F2064:I2064"/>
    <mergeCell ref="M2064:N2064"/>
    <mergeCell ref="O2064:P2064"/>
    <mergeCell ref="Q2064:U2064"/>
    <mergeCell ref="A2063:B2063"/>
    <mergeCell ref="C2063:E2063"/>
    <mergeCell ref="F2063:I2063"/>
    <mergeCell ref="M2063:N2063"/>
    <mergeCell ref="O2063:P2063"/>
    <mergeCell ref="Q2063:U2063"/>
    <mergeCell ref="S2075:W2075"/>
    <mergeCell ref="C2076:T2076"/>
    <mergeCell ref="A2077:F2079"/>
    <mergeCell ref="G2077:T2077"/>
    <mergeCell ref="G2078:R2078"/>
    <mergeCell ref="G2079:Q2079"/>
    <mergeCell ref="A2073:B2073"/>
    <mergeCell ref="C2073:E2073"/>
    <mergeCell ref="F2073:I2073"/>
    <mergeCell ref="M2073:N2073"/>
    <mergeCell ref="O2073:P2073"/>
    <mergeCell ref="Q2073:U2073"/>
    <mergeCell ref="A2072:B2072"/>
    <mergeCell ref="C2072:E2072"/>
    <mergeCell ref="F2072:I2072"/>
    <mergeCell ref="M2072:N2072"/>
    <mergeCell ref="O2072:P2072"/>
    <mergeCell ref="Q2072:U2072"/>
    <mergeCell ref="A2071:B2071"/>
    <mergeCell ref="C2071:E2071"/>
    <mergeCell ref="F2071:I2071"/>
    <mergeCell ref="M2071:N2071"/>
    <mergeCell ref="O2071:P2071"/>
    <mergeCell ref="Q2071:U2071"/>
    <mergeCell ref="A2070:B2070"/>
    <mergeCell ref="C2070:E2070"/>
    <mergeCell ref="F2070:I2070"/>
    <mergeCell ref="M2070:N2070"/>
    <mergeCell ref="O2070:P2070"/>
    <mergeCell ref="Q2070:U2070"/>
    <mergeCell ref="A2069:B2069"/>
    <mergeCell ref="C2069:E2069"/>
    <mergeCell ref="F2069:I2069"/>
    <mergeCell ref="M2069:N2069"/>
    <mergeCell ref="O2069:P2069"/>
    <mergeCell ref="Q2069:U2069"/>
    <mergeCell ref="A2088:B2088"/>
    <mergeCell ref="C2088:E2088"/>
    <mergeCell ref="F2088:I2088"/>
    <mergeCell ref="M2088:N2088"/>
    <mergeCell ref="O2088:P2088"/>
    <mergeCell ref="Q2088:U2088"/>
    <mergeCell ref="A2087:B2087"/>
    <mergeCell ref="C2087:E2087"/>
    <mergeCell ref="F2087:I2087"/>
    <mergeCell ref="M2087:N2087"/>
    <mergeCell ref="O2087:P2087"/>
    <mergeCell ref="Q2087:U2087"/>
    <mergeCell ref="A2086:B2086"/>
    <mergeCell ref="C2086:E2086"/>
    <mergeCell ref="F2086:I2086"/>
    <mergeCell ref="M2086:N2086"/>
    <mergeCell ref="O2086:P2086"/>
    <mergeCell ref="Q2086:U2086"/>
    <mergeCell ref="A2084:I2084"/>
    <mergeCell ref="J2084:K2084"/>
    <mergeCell ref="L2084:N2084"/>
    <mergeCell ref="O2084:U2084"/>
    <mergeCell ref="A2085:B2085"/>
    <mergeCell ref="C2085:E2085"/>
    <mergeCell ref="F2085:I2085"/>
    <mergeCell ref="M2085:N2085"/>
    <mergeCell ref="O2085:P2085"/>
    <mergeCell ref="Q2085:U2085"/>
    <mergeCell ref="B2080:G2081"/>
    <mergeCell ref="H2080:M2080"/>
    <mergeCell ref="N2080:S2081"/>
    <mergeCell ref="T2080:W2081"/>
    <mergeCell ref="H2081:M2081"/>
    <mergeCell ref="B2082:D2082"/>
    <mergeCell ref="E2082:Q2083"/>
    <mergeCell ref="R2082:S2083"/>
    <mergeCell ref="T2082:U2083"/>
    <mergeCell ref="A2094:B2094"/>
    <mergeCell ref="C2094:E2094"/>
    <mergeCell ref="F2094:I2094"/>
    <mergeCell ref="M2094:N2094"/>
    <mergeCell ref="O2094:P2094"/>
    <mergeCell ref="Q2094:U2094"/>
    <mergeCell ref="A2093:B2093"/>
    <mergeCell ref="C2093:E2093"/>
    <mergeCell ref="F2093:I2093"/>
    <mergeCell ref="M2093:N2093"/>
    <mergeCell ref="O2093:P2093"/>
    <mergeCell ref="Q2093:U2093"/>
    <mergeCell ref="A2092:B2092"/>
    <mergeCell ref="C2092:E2092"/>
    <mergeCell ref="F2092:I2092"/>
    <mergeCell ref="M2092:N2092"/>
    <mergeCell ref="O2092:P2092"/>
    <mergeCell ref="Q2092:U2092"/>
    <mergeCell ref="A2091:B2091"/>
    <mergeCell ref="C2091:E2091"/>
    <mergeCell ref="F2091:I2091"/>
    <mergeCell ref="M2091:N2091"/>
    <mergeCell ref="O2091:P2091"/>
    <mergeCell ref="Q2091:U2091"/>
    <mergeCell ref="A2090:B2090"/>
    <mergeCell ref="C2090:E2090"/>
    <mergeCell ref="F2090:I2090"/>
    <mergeCell ref="M2090:N2090"/>
    <mergeCell ref="O2090:P2090"/>
    <mergeCell ref="Q2090:U2090"/>
    <mergeCell ref="A2089:B2089"/>
    <mergeCell ref="C2089:E2089"/>
    <mergeCell ref="F2089:I2089"/>
    <mergeCell ref="M2089:N2089"/>
    <mergeCell ref="O2089:P2089"/>
    <mergeCell ref="Q2089:U2089"/>
    <mergeCell ref="A2100:B2100"/>
    <mergeCell ref="C2100:E2100"/>
    <mergeCell ref="F2100:I2100"/>
    <mergeCell ref="M2100:N2100"/>
    <mergeCell ref="O2100:P2100"/>
    <mergeCell ref="Q2100:U2100"/>
    <mergeCell ref="A2099:B2099"/>
    <mergeCell ref="C2099:E2099"/>
    <mergeCell ref="F2099:I2099"/>
    <mergeCell ref="M2099:N2099"/>
    <mergeCell ref="O2099:P2099"/>
    <mergeCell ref="Q2099:U2099"/>
    <mergeCell ref="A2098:B2098"/>
    <mergeCell ref="C2098:E2098"/>
    <mergeCell ref="F2098:I2098"/>
    <mergeCell ref="M2098:N2098"/>
    <mergeCell ref="O2098:P2098"/>
    <mergeCell ref="Q2098:U2098"/>
    <mergeCell ref="A2097:B2097"/>
    <mergeCell ref="C2097:E2097"/>
    <mergeCell ref="F2097:I2097"/>
    <mergeCell ref="M2097:N2097"/>
    <mergeCell ref="O2097:P2097"/>
    <mergeCell ref="Q2097:U2097"/>
    <mergeCell ref="A2096:B2096"/>
    <mergeCell ref="C2096:E2096"/>
    <mergeCell ref="F2096:I2096"/>
    <mergeCell ref="M2096:N2096"/>
    <mergeCell ref="O2096:P2096"/>
    <mergeCell ref="Q2096:U2096"/>
    <mergeCell ref="A2095:B2095"/>
    <mergeCell ref="C2095:E2095"/>
    <mergeCell ref="F2095:I2095"/>
    <mergeCell ref="M2095:N2095"/>
    <mergeCell ref="O2095:P2095"/>
    <mergeCell ref="Q2095:U2095"/>
    <mergeCell ref="A2106:B2106"/>
    <mergeCell ref="C2106:E2106"/>
    <mergeCell ref="F2106:I2106"/>
    <mergeCell ref="M2106:N2106"/>
    <mergeCell ref="O2106:P2106"/>
    <mergeCell ref="Q2106:U2106"/>
    <mergeCell ref="A2105:B2105"/>
    <mergeCell ref="C2105:E2105"/>
    <mergeCell ref="F2105:I2105"/>
    <mergeCell ref="M2105:N2105"/>
    <mergeCell ref="O2105:P2105"/>
    <mergeCell ref="Q2105:U2105"/>
    <mergeCell ref="A2104:B2104"/>
    <mergeCell ref="C2104:E2104"/>
    <mergeCell ref="F2104:I2104"/>
    <mergeCell ref="M2104:N2104"/>
    <mergeCell ref="O2104:P2104"/>
    <mergeCell ref="Q2104:U2104"/>
    <mergeCell ref="A2103:B2103"/>
    <mergeCell ref="C2103:E2103"/>
    <mergeCell ref="F2103:I2103"/>
    <mergeCell ref="M2103:N2103"/>
    <mergeCell ref="O2103:P2103"/>
    <mergeCell ref="Q2103:U2103"/>
    <mergeCell ref="A2102:B2102"/>
    <mergeCell ref="C2102:E2102"/>
    <mergeCell ref="F2102:I2102"/>
    <mergeCell ref="M2102:N2102"/>
    <mergeCell ref="O2102:P2102"/>
    <mergeCell ref="Q2102:U2102"/>
    <mergeCell ref="A2101:B2101"/>
    <mergeCell ref="C2101:E2101"/>
    <mergeCell ref="F2101:I2101"/>
    <mergeCell ref="M2101:N2101"/>
    <mergeCell ref="O2101:P2101"/>
    <mergeCell ref="Q2101:U2101"/>
    <mergeCell ref="A2119:I2119"/>
    <mergeCell ref="J2119:K2119"/>
    <mergeCell ref="L2119:N2119"/>
    <mergeCell ref="O2119:U2119"/>
    <mergeCell ref="A2120:B2120"/>
    <mergeCell ref="C2120:E2120"/>
    <mergeCell ref="F2120:I2120"/>
    <mergeCell ref="M2120:N2120"/>
    <mergeCell ref="O2120:P2120"/>
    <mergeCell ref="Q2120:U2120"/>
    <mergeCell ref="B2115:G2116"/>
    <mergeCell ref="H2115:M2115"/>
    <mergeCell ref="N2115:S2116"/>
    <mergeCell ref="T2115:W2116"/>
    <mergeCell ref="H2116:M2116"/>
    <mergeCell ref="B2117:D2117"/>
    <mergeCell ref="E2117:Q2118"/>
    <mergeCell ref="R2117:S2118"/>
    <mergeCell ref="T2117:U2118"/>
    <mergeCell ref="S2110:W2110"/>
    <mergeCell ref="C2111:T2111"/>
    <mergeCell ref="A2112:F2114"/>
    <mergeCell ref="G2112:T2112"/>
    <mergeCell ref="G2113:R2113"/>
    <mergeCell ref="G2114:Q2114"/>
    <mergeCell ref="A2108:B2108"/>
    <mergeCell ref="C2108:E2108"/>
    <mergeCell ref="F2108:I2108"/>
    <mergeCell ref="M2108:N2108"/>
    <mergeCell ref="O2108:P2108"/>
    <mergeCell ref="Q2108:U2108"/>
    <mergeCell ref="A2107:B2107"/>
    <mergeCell ref="C2107:E2107"/>
    <mergeCell ref="F2107:I2107"/>
    <mergeCell ref="M2107:N2107"/>
    <mergeCell ref="O2107:P2107"/>
    <mergeCell ref="Q2107:U2107"/>
    <mergeCell ref="A2126:B2126"/>
    <mergeCell ref="C2126:E2126"/>
    <mergeCell ref="F2126:I2126"/>
    <mergeCell ref="M2126:N2126"/>
    <mergeCell ref="O2126:P2126"/>
    <mergeCell ref="Q2126:U2126"/>
    <mergeCell ref="A2125:B2125"/>
    <mergeCell ref="C2125:E2125"/>
    <mergeCell ref="F2125:I2125"/>
    <mergeCell ref="M2125:N2125"/>
    <mergeCell ref="O2125:P2125"/>
    <mergeCell ref="Q2125:U2125"/>
    <mergeCell ref="A2124:B2124"/>
    <mergeCell ref="C2124:E2124"/>
    <mergeCell ref="F2124:I2124"/>
    <mergeCell ref="M2124:N2124"/>
    <mergeCell ref="O2124:P2124"/>
    <mergeCell ref="Q2124:U2124"/>
    <mergeCell ref="A2123:B2123"/>
    <mergeCell ref="C2123:E2123"/>
    <mergeCell ref="F2123:I2123"/>
    <mergeCell ref="M2123:N2123"/>
    <mergeCell ref="O2123:P2123"/>
    <mergeCell ref="Q2123:U2123"/>
    <mergeCell ref="A2122:B2122"/>
    <mergeCell ref="C2122:E2122"/>
    <mergeCell ref="F2122:I2122"/>
    <mergeCell ref="M2122:N2122"/>
    <mergeCell ref="O2122:P2122"/>
    <mergeCell ref="Q2122:U2122"/>
    <mergeCell ref="A2121:B2121"/>
    <mergeCell ref="C2121:E2121"/>
    <mergeCell ref="F2121:I2121"/>
    <mergeCell ref="M2121:N2121"/>
    <mergeCell ref="O2121:P2121"/>
    <mergeCell ref="Q2121:U2121"/>
    <mergeCell ref="A2132:B2132"/>
    <mergeCell ref="C2132:E2132"/>
    <mergeCell ref="F2132:I2132"/>
    <mergeCell ref="M2132:N2132"/>
    <mergeCell ref="O2132:P2132"/>
    <mergeCell ref="Q2132:U2132"/>
    <mergeCell ref="A2131:B2131"/>
    <mergeCell ref="C2131:E2131"/>
    <mergeCell ref="F2131:I2131"/>
    <mergeCell ref="M2131:N2131"/>
    <mergeCell ref="O2131:P2131"/>
    <mergeCell ref="Q2131:U2131"/>
    <mergeCell ref="A2130:B2130"/>
    <mergeCell ref="C2130:E2130"/>
    <mergeCell ref="F2130:I2130"/>
    <mergeCell ref="M2130:N2130"/>
    <mergeCell ref="O2130:P2130"/>
    <mergeCell ref="Q2130:U2130"/>
    <mergeCell ref="A2129:B2129"/>
    <mergeCell ref="C2129:E2129"/>
    <mergeCell ref="F2129:I2129"/>
    <mergeCell ref="M2129:N2129"/>
    <mergeCell ref="O2129:P2129"/>
    <mergeCell ref="Q2129:U2129"/>
    <mergeCell ref="A2128:B2128"/>
    <mergeCell ref="C2128:E2128"/>
    <mergeCell ref="F2128:I2128"/>
    <mergeCell ref="M2128:N2128"/>
    <mergeCell ref="O2128:P2128"/>
    <mergeCell ref="Q2128:U2128"/>
    <mergeCell ref="A2127:B2127"/>
    <mergeCell ref="C2127:E2127"/>
    <mergeCell ref="F2127:I2127"/>
    <mergeCell ref="M2127:N2127"/>
    <mergeCell ref="O2127:P2127"/>
    <mergeCell ref="Q2127:U2127"/>
    <mergeCell ref="A2138:B2138"/>
    <mergeCell ref="C2138:E2138"/>
    <mergeCell ref="F2138:I2138"/>
    <mergeCell ref="M2138:N2138"/>
    <mergeCell ref="O2138:P2138"/>
    <mergeCell ref="Q2138:U2138"/>
    <mergeCell ref="A2137:B2137"/>
    <mergeCell ref="C2137:E2137"/>
    <mergeCell ref="F2137:I2137"/>
    <mergeCell ref="M2137:N2137"/>
    <mergeCell ref="O2137:P2137"/>
    <mergeCell ref="Q2137:U2137"/>
    <mergeCell ref="A2136:B2136"/>
    <mergeCell ref="C2136:E2136"/>
    <mergeCell ref="F2136:I2136"/>
    <mergeCell ref="M2136:N2136"/>
    <mergeCell ref="O2136:P2136"/>
    <mergeCell ref="Q2136:U2136"/>
    <mergeCell ref="A2135:B2135"/>
    <mergeCell ref="C2135:E2135"/>
    <mergeCell ref="F2135:I2135"/>
    <mergeCell ref="M2135:N2135"/>
    <mergeCell ref="O2135:P2135"/>
    <mergeCell ref="Q2135:U2135"/>
    <mergeCell ref="A2134:B2134"/>
    <mergeCell ref="C2134:E2134"/>
    <mergeCell ref="F2134:I2134"/>
    <mergeCell ref="M2134:N2134"/>
    <mergeCell ref="O2134:P2134"/>
    <mergeCell ref="Q2134:U2134"/>
    <mergeCell ref="A2133:B2133"/>
    <mergeCell ref="C2133:E2133"/>
    <mergeCell ref="F2133:I2133"/>
    <mergeCell ref="M2133:N2133"/>
    <mergeCell ref="O2133:P2133"/>
    <mergeCell ref="Q2133:U2133"/>
    <mergeCell ref="S2145:W2145"/>
    <mergeCell ref="C2146:T2146"/>
    <mergeCell ref="A2147:F2149"/>
    <mergeCell ref="G2147:T2147"/>
    <mergeCell ref="G2148:R2148"/>
    <mergeCell ref="G2149:Q2149"/>
    <mergeCell ref="A2143:B2143"/>
    <mergeCell ref="C2143:E2143"/>
    <mergeCell ref="F2143:I2143"/>
    <mergeCell ref="M2143:N2143"/>
    <mergeCell ref="O2143:P2143"/>
    <mergeCell ref="Q2143:U2143"/>
    <mergeCell ref="A2142:B2142"/>
    <mergeCell ref="C2142:E2142"/>
    <mergeCell ref="F2142:I2142"/>
    <mergeCell ref="M2142:N2142"/>
    <mergeCell ref="O2142:P2142"/>
    <mergeCell ref="Q2142:U2142"/>
    <mergeCell ref="A2141:B2141"/>
    <mergeCell ref="C2141:E2141"/>
    <mergeCell ref="F2141:I2141"/>
    <mergeCell ref="M2141:N2141"/>
    <mergeCell ref="O2141:P2141"/>
    <mergeCell ref="Q2141:U2141"/>
    <mergeCell ref="A2140:B2140"/>
    <mergeCell ref="C2140:E2140"/>
    <mergeCell ref="F2140:I2140"/>
    <mergeCell ref="M2140:N2140"/>
    <mergeCell ref="O2140:P2140"/>
    <mergeCell ref="Q2140:U2140"/>
    <mergeCell ref="A2139:B2139"/>
    <mergeCell ref="C2139:E2139"/>
    <mergeCell ref="F2139:I2139"/>
    <mergeCell ref="M2139:N2139"/>
    <mergeCell ref="O2139:P2139"/>
    <mergeCell ref="Q2139:U2139"/>
    <mergeCell ref="A2158:B2158"/>
    <mergeCell ref="C2158:E2158"/>
    <mergeCell ref="F2158:I2158"/>
    <mergeCell ref="M2158:N2158"/>
    <mergeCell ref="O2158:P2158"/>
    <mergeCell ref="Q2158:U2158"/>
    <mergeCell ref="A2157:B2157"/>
    <mergeCell ref="C2157:E2157"/>
    <mergeCell ref="F2157:I2157"/>
    <mergeCell ref="M2157:N2157"/>
    <mergeCell ref="O2157:P2157"/>
    <mergeCell ref="Q2157:U2157"/>
    <mergeCell ref="A2156:B2156"/>
    <mergeCell ref="C2156:E2156"/>
    <mergeCell ref="F2156:I2156"/>
    <mergeCell ref="M2156:N2156"/>
    <mergeCell ref="O2156:P2156"/>
    <mergeCell ref="Q2156:U2156"/>
    <mergeCell ref="A2154:I2154"/>
    <mergeCell ref="J2154:K2154"/>
    <mergeCell ref="L2154:N2154"/>
    <mergeCell ref="O2154:U2154"/>
    <mergeCell ref="A2155:B2155"/>
    <mergeCell ref="C2155:E2155"/>
    <mergeCell ref="F2155:I2155"/>
    <mergeCell ref="M2155:N2155"/>
    <mergeCell ref="O2155:P2155"/>
    <mergeCell ref="Q2155:U2155"/>
    <mergeCell ref="B2150:G2151"/>
    <mergeCell ref="H2150:M2150"/>
    <mergeCell ref="N2150:S2151"/>
    <mergeCell ref="T2150:W2151"/>
    <mergeCell ref="H2151:M2151"/>
    <mergeCell ref="B2152:D2152"/>
    <mergeCell ref="E2152:Q2153"/>
    <mergeCell ref="R2152:S2153"/>
    <mergeCell ref="T2152:U2153"/>
    <mergeCell ref="A2164:B2164"/>
    <mergeCell ref="C2164:E2164"/>
    <mergeCell ref="F2164:I2164"/>
    <mergeCell ref="M2164:N2164"/>
    <mergeCell ref="O2164:P2164"/>
    <mergeCell ref="Q2164:U2164"/>
    <mergeCell ref="A2163:B2163"/>
    <mergeCell ref="C2163:E2163"/>
    <mergeCell ref="F2163:I2163"/>
    <mergeCell ref="M2163:N2163"/>
    <mergeCell ref="O2163:P2163"/>
    <mergeCell ref="Q2163:U2163"/>
    <mergeCell ref="A2162:B2162"/>
    <mergeCell ref="C2162:E2162"/>
    <mergeCell ref="F2162:I2162"/>
    <mergeCell ref="M2162:N2162"/>
    <mergeCell ref="O2162:P2162"/>
    <mergeCell ref="Q2162:U2162"/>
    <mergeCell ref="A2161:B2161"/>
    <mergeCell ref="C2161:E2161"/>
    <mergeCell ref="F2161:I2161"/>
    <mergeCell ref="M2161:N2161"/>
    <mergeCell ref="O2161:P2161"/>
    <mergeCell ref="Q2161:U2161"/>
    <mergeCell ref="A2160:B2160"/>
    <mergeCell ref="C2160:E2160"/>
    <mergeCell ref="F2160:I2160"/>
    <mergeCell ref="M2160:N2160"/>
    <mergeCell ref="O2160:P2160"/>
    <mergeCell ref="Q2160:U2160"/>
    <mergeCell ref="A2159:B2159"/>
    <mergeCell ref="C2159:E2159"/>
    <mergeCell ref="F2159:I2159"/>
    <mergeCell ref="M2159:N2159"/>
    <mergeCell ref="O2159:P2159"/>
    <mergeCell ref="Q2159:U2159"/>
    <mergeCell ref="M2171:N2171"/>
    <mergeCell ref="O2171:P2171"/>
    <mergeCell ref="Q2171:U2171"/>
    <mergeCell ref="P2173:V2173"/>
    <mergeCell ref="S2175:W2175"/>
    <mergeCell ref="A2169:B2169"/>
    <mergeCell ref="C2169:E2169"/>
    <mergeCell ref="F2169:I2169"/>
    <mergeCell ref="M2169:N2169"/>
    <mergeCell ref="O2169:P2169"/>
    <mergeCell ref="Q2169:U2169"/>
    <mergeCell ref="A2168:B2168"/>
    <mergeCell ref="C2168:E2168"/>
    <mergeCell ref="F2168:I2168"/>
    <mergeCell ref="M2168:N2168"/>
    <mergeCell ref="O2168:P2168"/>
    <mergeCell ref="Q2168:U2168"/>
    <mergeCell ref="A2167:B2167"/>
    <mergeCell ref="C2167:E2167"/>
    <mergeCell ref="F2167:I2167"/>
    <mergeCell ref="M2167:N2167"/>
    <mergeCell ref="O2167:P2167"/>
    <mergeCell ref="Q2167:U2167"/>
    <mergeCell ref="A2166:B2166"/>
    <mergeCell ref="C2166:E2166"/>
    <mergeCell ref="F2166:I2166"/>
    <mergeCell ref="M2166:N2166"/>
    <mergeCell ref="O2166:P2166"/>
    <mergeCell ref="Q2166:U2166"/>
    <mergeCell ref="A2165:B2165"/>
    <mergeCell ref="C2165:E2165"/>
    <mergeCell ref="F2165:I2165"/>
    <mergeCell ref="M2165:N2165"/>
    <mergeCell ref="O2165:P2165"/>
    <mergeCell ref="Q2165:U216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AF251"/>
  <sheetViews>
    <sheetView zoomScale="80" zoomScaleNormal="80" workbookViewId="0">
      <pane xSplit="3" ySplit="8" topLeftCell="D200" activePane="bottomRight" state="frozen"/>
      <selection pane="topRight" activeCell="D1" sqref="D1"/>
      <selection pane="bottomLeft" activeCell="A10" sqref="A10"/>
      <selection pane="bottomRight" activeCell="D245" sqref="D245:G251"/>
    </sheetView>
  </sheetViews>
  <sheetFormatPr baseColWidth="10" defaultRowHeight="12.75"/>
  <cols>
    <col min="1" max="1" width="9.7109375" style="73" customWidth="1"/>
    <col min="2" max="2" width="9" style="73" customWidth="1"/>
    <col min="3" max="3" width="49.28515625" style="73" customWidth="1"/>
    <col min="4" max="4" width="15.42578125" style="73" bestFit="1" customWidth="1"/>
    <col min="5" max="5" width="15" style="73" bestFit="1" customWidth="1"/>
    <col min="6" max="6" width="17" style="73" customWidth="1"/>
    <col min="7" max="7" width="17.42578125" style="73" customWidth="1"/>
    <col min="8" max="9" width="14" style="73" bestFit="1" customWidth="1"/>
    <col min="10" max="10" width="15" style="73" bestFit="1" customWidth="1"/>
    <col min="11" max="12" width="14" style="73" bestFit="1" customWidth="1"/>
    <col min="13" max="13" width="15" style="73" bestFit="1" customWidth="1"/>
    <col min="14" max="14" width="14" style="73" customWidth="1"/>
    <col min="15" max="15" width="14" style="73" bestFit="1" customWidth="1"/>
    <col min="16" max="16" width="15.42578125" style="73" bestFit="1" customWidth="1"/>
    <col min="17" max="17" width="12" style="73" bestFit="1" customWidth="1"/>
    <col min="18" max="18" width="12.85546875" style="73" customWidth="1"/>
    <col min="19" max="19" width="13.85546875" style="73" customWidth="1"/>
    <col min="20" max="30" width="11.42578125" style="73" customWidth="1"/>
    <col min="31" max="31" width="13.85546875" style="73" customWidth="1"/>
    <col min="32" max="16384" width="11.42578125" style="73"/>
  </cols>
  <sheetData>
    <row r="1" spans="1:32">
      <c r="A1" s="135" t="s">
        <v>2987</v>
      </c>
      <c r="P1" s="13"/>
    </row>
    <row r="2" spans="1:32" ht="15.75">
      <c r="A2" s="724" t="s">
        <v>5623</v>
      </c>
      <c r="B2" s="725"/>
      <c r="C2" s="725"/>
      <c r="D2" s="725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32" ht="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488"/>
      <c r="S3" s="488"/>
      <c r="T3" s="488"/>
      <c r="U3" s="488"/>
      <c r="V3" s="488"/>
    </row>
    <row r="4" spans="1:32">
      <c r="P4" s="13"/>
    </row>
    <row r="5" spans="1:32">
      <c r="A5" s="574" t="s">
        <v>143</v>
      </c>
      <c r="B5" s="574" t="s">
        <v>106</v>
      </c>
      <c r="C5" s="575" t="s">
        <v>144</v>
      </c>
      <c r="D5" s="574" t="s">
        <v>51</v>
      </c>
      <c r="E5" s="574" t="s">
        <v>52</v>
      </c>
      <c r="F5" s="574" t="s">
        <v>53</v>
      </c>
      <c r="G5" s="574" t="s">
        <v>54</v>
      </c>
      <c r="H5" s="574" t="s">
        <v>55</v>
      </c>
      <c r="I5" s="574" t="s">
        <v>56</v>
      </c>
      <c r="J5" s="574" t="s">
        <v>57</v>
      </c>
      <c r="K5" s="574" t="s">
        <v>58</v>
      </c>
      <c r="L5" s="574" t="s">
        <v>59</v>
      </c>
      <c r="M5" s="574" t="s">
        <v>60</v>
      </c>
      <c r="N5" s="574" t="s">
        <v>61</v>
      </c>
      <c r="O5" s="574" t="s">
        <v>62</v>
      </c>
      <c r="P5" s="574" t="s">
        <v>3253</v>
      </c>
    </row>
    <row r="7" spans="1:32" ht="15">
      <c r="A7" s="1594" t="s">
        <v>233</v>
      </c>
      <c r="B7" s="1595"/>
      <c r="C7" s="1595"/>
      <c r="D7" s="1595"/>
      <c r="E7" s="1595"/>
      <c r="F7" s="1595"/>
      <c r="G7" s="1595"/>
      <c r="H7" s="1595"/>
      <c r="I7" s="1595"/>
      <c r="J7" s="1595"/>
      <c r="K7" s="1595"/>
      <c r="L7" s="1595"/>
      <c r="M7" s="1595"/>
      <c r="N7" s="1595"/>
      <c r="O7" s="1595"/>
      <c r="P7" s="1595"/>
    </row>
    <row r="8" spans="1:32">
      <c r="A8" s="111" t="s">
        <v>145</v>
      </c>
      <c r="B8" s="116"/>
      <c r="C8" s="113"/>
      <c r="D8" s="117">
        <v>1442314.1446666664</v>
      </c>
      <c r="E8" s="117">
        <v>1442314.1446666664</v>
      </c>
      <c r="F8" s="117">
        <v>1442314.1446666664</v>
      </c>
      <c r="G8" s="117">
        <v>1442314.1446666664</v>
      </c>
      <c r="H8" s="117">
        <v>1442314.1446666664</v>
      </c>
      <c r="I8" s="117">
        <v>1531875.8196666664</v>
      </c>
      <c r="J8" s="117">
        <v>1442314.1446666664</v>
      </c>
      <c r="K8" s="117">
        <v>1442314.1446666664</v>
      </c>
      <c r="L8" s="117">
        <v>1442314.1446666664</v>
      </c>
      <c r="M8" s="117">
        <v>1442314.1446666664</v>
      </c>
      <c r="N8" s="117">
        <v>1442314.1446666664</v>
      </c>
      <c r="O8" s="117">
        <v>3344604.1216666661</v>
      </c>
      <c r="P8" s="117">
        <v>19299621.387999997</v>
      </c>
    </row>
    <row r="9" spans="1:32">
      <c r="A9" s="108">
        <v>5111</v>
      </c>
      <c r="B9" s="108">
        <v>11301</v>
      </c>
      <c r="C9" s="109" t="s">
        <v>107</v>
      </c>
      <c r="D9" s="93">
        <v>1074740.0999999999</v>
      </c>
      <c r="E9" s="93">
        <v>1074740.0999999999</v>
      </c>
      <c r="F9" s="93">
        <v>1074740.0999999999</v>
      </c>
      <c r="G9" s="93">
        <v>1074740.0999999999</v>
      </c>
      <c r="H9" s="93">
        <v>1074740.0999999999</v>
      </c>
      <c r="I9" s="93">
        <v>1074740.0999999999</v>
      </c>
      <c r="J9" s="93">
        <v>1074740.0999999999</v>
      </c>
      <c r="K9" s="93">
        <v>1074740.0999999999</v>
      </c>
      <c r="L9" s="93">
        <v>1074740.0999999999</v>
      </c>
      <c r="M9" s="93">
        <v>1074740.0999999999</v>
      </c>
      <c r="N9" s="93">
        <v>1074740.0999999999</v>
      </c>
      <c r="O9" s="93">
        <v>1074740.0999999999</v>
      </c>
      <c r="P9" s="93">
        <v>12896881.199999997</v>
      </c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550"/>
      <c r="AF9" s="127"/>
    </row>
    <row r="10" spans="1:32">
      <c r="A10" s="89">
        <v>5113</v>
      </c>
      <c r="B10" s="89">
        <v>13201</v>
      </c>
      <c r="C10" s="90" t="s">
        <v>108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>
        <v>1812728.3020000001</v>
      </c>
      <c r="P10" s="93">
        <v>1812728.3020000001</v>
      </c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550"/>
      <c r="AF10" s="127"/>
    </row>
    <row r="11" spans="1:32">
      <c r="A11" s="89">
        <v>5113</v>
      </c>
      <c r="B11" s="89">
        <v>13202</v>
      </c>
      <c r="C11" s="90" t="s">
        <v>109</v>
      </c>
      <c r="D11" s="93"/>
      <c r="E11" s="93"/>
      <c r="F11" s="93"/>
      <c r="G11" s="93"/>
      <c r="H11" s="93"/>
      <c r="I11" s="93">
        <v>89561.674999999974</v>
      </c>
      <c r="J11" s="93"/>
      <c r="K11" s="93"/>
      <c r="L11" s="93"/>
      <c r="M11" s="93"/>
      <c r="N11" s="93"/>
      <c r="O11" s="93">
        <v>89561.674999999974</v>
      </c>
      <c r="P11" s="93">
        <v>179123.34999999995</v>
      </c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550"/>
      <c r="AF11" s="127"/>
    </row>
    <row r="12" spans="1:32">
      <c r="A12" s="89">
        <v>5113</v>
      </c>
      <c r="B12" s="89">
        <v>13301</v>
      </c>
      <c r="C12" s="90" t="s">
        <v>110</v>
      </c>
      <c r="D12" s="93">
        <v>9198.5249999999996</v>
      </c>
      <c r="E12" s="93">
        <v>9198.5249999999996</v>
      </c>
      <c r="F12" s="93">
        <v>9198.5249999999996</v>
      </c>
      <c r="G12" s="93">
        <v>9198.5249999999996</v>
      </c>
      <c r="H12" s="93">
        <v>9198.5249999999996</v>
      </c>
      <c r="I12" s="93">
        <v>9198.5249999999996</v>
      </c>
      <c r="J12" s="93">
        <v>9198.5249999999996</v>
      </c>
      <c r="K12" s="93">
        <v>9198.5249999999996</v>
      </c>
      <c r="L12" s="93">
        <v>9198.5249999999996</v>
      </c>
      <c r="M12" s="93">
        <v>9198.5249999999996</v>
      </c>
      <c r="N12" s="93">
        <v>9198.5249999999996</v>
      </c>
      <c r="O12" s="93">
        <v>9198.5249999999996</v>
      </c>
      <c r="P12" s="93">
        <v>110382.29999999997</v>
      </c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550"/>
      <c r="AF12" s="127"/>
    </row>
    <row r="13" spans="1:32">
      <c r="A13" s="89">
        <v>5114</v>
      </c>
      <c r="B13" s="89">
        <v>14102</v>
      </c>
      <c r="C13" s="90" t="s">
        <v>209</v>
      </c>
      <c r="D13" s="93">
        <v>25000</v>
      </c>
      <c r="E13" s="93">
        <v>25000</v>
      </c>
      <c r="F13" s="93">
        <v>25000</v>
      </c>
      <c r="G13" s="93">
        <v>25000</v>
      </c>
      <c r="H13" s="93">
        <v>25000</v>
      </c>
      <c r="I13" s="93">
        <v>25000</v>
      </c>
      <c r="J13" s="93">
        <v>25000</v>
      </c>
      <c r="K13" s="93">
        <v>25000</v>
      </c>
      <c r="L13" s="93">
        <v>25000</v>
      </c>
      <c r="M13" s="93">
        <v>25000</v>
      </c>
      <c r="N13" s="93">
        <v>25000</v>
      </c>
      <c r="O13" s="93">
        <v>25000</v>
      </c>
      <c r="P13" s="93">
        <v>300000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550"/>
      <c r="AF13" s="127"/>
    </row>
    <row r="14" spans="1:32">
      <c r="A14" s="89">
        <v>5114</v>
      </c>
      <c r="B14" s="89">
        <v>14301</v>
      </c>
      <c r="C14" s="90" t="s">
        <v>1845</v>
      </c>
      <c r="D14" s="93">
        <v>182705.81700000001</v>
      </c>
      <c r="E14" s="93">
        <v>182705.81700000001</v>
      </c>
      <c r="F14" s="93">
        <v>182705.81700000001</v>
      </c>
      <c r="G14" s="93">
        <v>182705.81700000001</v>
      </c>
      <c r="H14" s="93">
        <v>182705.81700000001</v>
      </c>
      <c r="I14" s="93">
        <v>182705.81700000001</v>
      </c>
      <c r="J14" s="93">
        <v>182705.81700000001</v>
      </c>
      <c r="K14" s="93">
        <v>182705.81700000001</v>
      </c>
      <c r="L14" s="93">
        <v>182705.81700000001</v>
      </c>
      <c r="M14" s="93">
        <v>182705.81700000001</v>
      </c>
      <c r="N14" s="93">
        <v>182705.81700000001</v>
      </c>
      <c r="O14" s="93">
        <v>182705.81700000001</v>
      </c>
      <c r="P14" s="93">
        <v>2192469.804</v>
      </c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</row>
    <row r="15" spans="1:32">
      <c r="A15" s="89">
        <v>5114</v>
      </c>
      <c r="B15" s="89">
        <v>14401</v>
      </c>
      <c r="C15" s="90" t="s">
        <v>111</v>
      </c>
      <c r="D15" s="93">
        <v>5083.333333333333</v>
      </c>
      <c r="E15" s="93">
        <v>5083.333333333333</v>
      </c>
      <c r="F15" s="93">
        <v>5083.333333333333</v>
      </c>
      <c r="G15" s="93">
        <v>5083.333333333333</v>
      </c>
      <c r="H15" s="93">
        <v>5083.333333333333</v>
      </c>
      <c r="I15" s="93">
        <v>5083.333333333333</v>
      </c>
      <c r="J15" s="93">
        <v>5083.333333333333</v>
      </c>
      <c r="K15" s="93">
        <v>5083.333333333333</v>
      </c>
      <c r="L15" s="93">
        <v>5083.333333333333</v>
      </c>
      <c r="M15" s="93">
        <v>5083.333333333333</v>
      </c>
      <c r="N15" s="93">
        <v>5083.333333333333</v>
      </c>
      <c r="O15" s="93">
        <v>5083.333333333333</v>
      </c>
      <c r="P15" s="93">
        <v>61000.000000000007</v>
      </c>
    </row>
    <row r="16" spans="1:32">
      <c r="A16" s="106">
        <v>5115</v>
      </c>
      <c r="B16" s="106">
        <v>15101</v>
      </c>
      <c r="C16" s="107" t="s">
        <v>112</v>
      </c>
      <c r="D16" s="93">
        <v>80339.564333333328</v>
      </c>
      <c r="E16" s="93">
        <v>80339.564333333328</v>
      </c>
      <c r="F16" s="93">
        <v>80339.564333333328</v>
      </c>
      <c r="G16" s="93">
        <v>80339.564333333328</v>
      </c>
      <c r="H16" s="93">
        <v>80339.564333333328</v>
      </c>
      <c r="I16" s="93">
        <v>80339.564333333328</v>
      </c>
      <c r="J16" s="93">
        <v>80339.564333333328</v>
      </c>
      <c r="K16" s="93">
        <v>80339.564333333328</v>
      </c>
      <c r="L16" s="93">
        <v>80339.564333333328</v>
      </c>
      <c r="M16" s="93">
        <v>80339.564333333328</v>
      </c>
      <c r="N16" s="93">
        <v>80339.564333333328</v>
      </c>
      <c r="O16" s="93">
        <v>80339.564333333328</v>
      </c>
      <c r="P16" s="93">
        <v>964074.77199999976</v>
      </c>
    </row>
    <row r="17" spans="1:32">
      <c r="A17" s="106">
        <v>5115</v>
      </c>
      <c r="B17" s="106">
        <v>15407</v>
      </c>
      <c r="C17" s="107" t="s">
        <v>113</v>
      </c>
      <c r="D17" s="93">
        <v>65246.804999999993</v>
      </c>
      <c r="E17" s="93">
        <v>65246.804999999993</v>
      </c>
      <c r="F17" s="93">
        <v>65246.804999999993</v>
      </c>
      <c r="G17" s="93">
        <v>65246.804999999993</v>
      </c>
      <c r="H17" s="93">
        <v>65246.804999999993</v>
      </c>
      <c r="I17" s="93">
        <v>65246.804999999993</v>
      </c>
      <c r="J17" s="93">
        <v>65246.804999999993</v>
      </c>
      <c r="K17" s="93">
        <v>65246.804999999993</v>
      </c>
      <c r="L17" s="93">
        <v>65246.804999999993</v>
      </c>
      <c r="M17" s="93">
        <v>65246.804999999993</v>
      </c>
      <c r="N17" s="93">
        <v>65246.804999999993</v>
      </c>
      <c r="O17" s="93">
        <v>65246.804999999993</v>
      </c>
      <c r="P17" s="93">
        <v>782961.65999999968</v>
      </c>
    </row>
    <row r="18" spans="1:32">
      <c r="A18" s="106"/>
      <c r="B18" s="106"/>
      <c r="C18" s="107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AF18" s="127"/>
    </row>
    <row r="19" spans="1:32">
      <c r="A19" s="111" t="s">
        <v>146</v>
      </c>
      <c r="B19" s="116"/>
      <c r="C19" s="113"/>
      <c r="D19" s="117">
        <v>66675</v>
      </c>
      <c r="E19" s="117">
        <v>66175</v>
      </c>
      <c r="F19" s="117">
        <v>66175</v>
      </c>
      <c r="G19" s="117">
        <v>66675</v>
      </c>
      <c r="H19" s="117">
        <v>66175</v>
      </c>
      <c r="I19" s="117">
        <v>66175</v>
      </c>
      <c r="J19" s="117">
        <v>66675</v>
      </c>
      <c r="K19" s="117">
        <v>66175</v>
      </c>
      <c r="L19" s="117">
        <v>66175</v>
      </c>
      <c r="M19" s="117">
        <v>66675</v>
      </c>
      <c r="N19" s="117">
        <v>66175</v>
      </c>
      <c r="O19" s="117">
        <v>66175</v>
      </c>
      <c r="P19" s="117">
        <v>796100</v>
      </c>
    </row>
    <row r="20" spans="1:32">
      <c r="A20" s="108">
        <v>5121</v>
      </c>
      <c r="B20" s="108">
        <v>21101</v>
      </c>
      <c r="C20" s="109" t="s">
        <v>114</v>
      </c>
      <c r="D20" s="93">
        <v>15341.666666666666</v>
      </c>
      <c r="E20" s="93">
        <v>15341.666666666666</v>
      </c>
      <c r="F20" s="93">
        <v>15341.666666666666</v>
      </c>
      <c r="G20" s="93">
        <v>15341.666666666666</v>
      </c>
      <c r="H20" s="93">
        <v>15341.666666666666</v>
      </c>
      <c r="I20" s="93">
        <v>15341.666666666666</v>
      </c>
      <c r="J20" s="93">
        <v>15341.666666666666</v>
      </c>
      <c r="K20" s="93">
        <v>15341.666666666666</v>
      </c>
      <c r="L20" s="93">
        <v>15341.666666666666</v>
      </c>
      <c r="M20" s="93">
        <v>15341.666666666666</v>
      </c>
      <c r="N20" s="93">
        <v>15341.666666666666</v>
      </c>
      <c r="O20" s="93">
        <v>15341.666666666666</v>
      </c>
      <c r="P20" s="93">
        <v>184099.99999999997</v>
      </c>
    </row>
    <row r="21" spans="1:32">
      <c r="A21" s="89">
        <v>5121</v>
      </c>
      <c r="B21" s="89">
        <v>21201</v>
      </c>
      <c r="C21" s="90" t="s">
        <v>115</v>
      </c>
      <c r="D21" s="93">
        <v>23333.333333333332</v>
      </c>
      <c r="E21" s="93">
        <v>23333.333333333332</v>
      </c>
      <c r="F21" s="93">
        <v>23333.333333333332</v>
      </c>
      <c r="G21" s="93">
        <v>23333.333333333332</v>
      </c>
      <c r="H21" s="93">
        <v>23333.333333333332</v>
      </c>
      <c r="I21" s="93">
        <v>23333.333333333332</v>
      </c>
      <c r="J21" s="93">
        <v>23333.333333333332</v>
      </c>
      <c r="K21" s="93">
        <v>23333.333333333332</v>
      </c>
      <c r="L21" s="93">
        <v>23333.333333333332</v>
      </c>
      <c r="M21" s="93">
        <v>23333.333333333332</v>
      </c>
      <c r="N21" s="93">
        <v>23333.333333333332</v>
      </c>
      <c r="O21" s="93">
        <v>23333.333333333332</v>
      </c>
      <c r="P21" s="93">
        <v>280000.00000000006</v>
      </c>
    </row>
    <row r="22" spans="1:32">
      <c r="A22" s="89">
        <v>5121</v>
      </c>
      <c r="B22" s="89">
        <v>21601</v>
      </c>
      <c r="C22" s="90" t="s">
        <v>116</v>
      </c>
      <c r="D22" s="93">
        <v>6666.666666666667</v>
      </c>
      <c r="E22" s="93">
        <v>6666.666666666667</v>
      </c>
      <c r="F22" s="93">
        <v>6666.666666666667</v>
      </c>
      <c r="G22" s="93">
        <v>6666.666666666667</v>
      </c>
      <c r="H22" s="93">
        <v>6666.666666666667</v>
      </c>
      <c r="I22" s="93">
        <v>6666.666666666667</v>
      </c>
      <c r="J22" s="93">
        <v>6666.666666666667</v>
      </c>
      <c r="K22" s="93">
        <v>6666.666666666667</v>
      </c>
      <c r="L22" s="93">
        <v>6666.666666666667</v>
      </c>
      <c r="M22" s="93">
        <v>6666.666666666667</v>
      </c>
      <c r="N22" s="93">
        <v>6666.666666666667</v>
      </c>
      <c r="O22" s="93">
        <v>6666.666666666667</v>
      </c>
      <c r="P22" s="93">
        <v>80000</v>
      </c>
    </row>
    <row r="23" spans="1:32">
      <c r="A23" s="89">
        <v>5122</v>
      </c>
      <c r="B23" s="89">
        <v>22101</v>
      </c>
      <c r="C23" s="90" t="s">
        <v>117</v>
      </c>
      <c r="D23" s="93">
        <v>4166.666666666667</v>
      </c>
      <c r="E23" s="93">
        <v>4166.666666666667</v>
      </c>
      <c r="F23" s="93">
        <v>4166.666666666667</v>
      </c>
      <c r="G23" s="93">
        <v>4166.666666666667</v>
      </c>
      <c r="H23" s="93">
        <v>4166.666666666667</v>
      </c>
      <c r="I23" s="93">
        <v>4166.666666666667</v>
      </c>
      <c r="J23" s="93">
        <v>4166.666666666667</v>
      </c>
      <c r="K23" s="93">
        <v>4166.666666666667</v>
      </c>
      <c r="L23" s="93">
        <v>4166.666666666667</v>
      </c>
      <c r="M23" s="93">
        <v>4166.666666666667</v>
      </c>
      <c r="N23" s="93">
        <v>4166.666666666667</v>
      </c>
      <c r="O23" s="93">
        <v>4166.666666666667</v>
      </c>
      <c r="P23" s="93">
        <v>49999.999999999993</v>
      </c>
    </row>
    <row r="24" spans="1:32">
      <c r="A24" s="89">
        <v>5125</v>
      </c>
      <c r="B24" s="89">
        <v>25301</v>
      </c>
      <c r="C24" s="90" t="s">
        <v>208</v>
      </c>
      <c r="D24" s="93">
        <v>500</v>
      </c>
      <c r="E24" s="93"/>
      <c r="F24" s="93"/>
      <c r="G24" s="93">
        <v>500</v>
      </c>
      <c r="H24" s="93"/>
      <c r="I24" s="93"/>
      <c r="J24" s="93">
        <v>500</v>
      </c>
      <c r="K24" s="93"/>
      <c r="L24" s="93"/>
      <c r="M24" s="93">
        <v>500</v>
      </c>
      <c r="N24" s="93"/>
      <c r="O24" s="93"/>
      <c r="P24" s="93">
        <v>2000</v>
      </c>
    </row>
    <row r="25" spans="1:32">
      <c r="A25" s="89">
        <v>5126</v>
      </c>
      <c r="B25" s="89">
        <v>26101</v>
      </c>
      <c r="C25" s="90" t="s">
        <v>118</v>
      </c>
      <c r="D25" s="93">
        <v>16666.666666666668</v>
      </c>
      <c r="E25" s="93">
        <v>16666.666666666668</v>
      </c>
      <c r="F25" s="93">
        <v>16666.666666666668</v>
      </c>
      <c r="G25" s="93">
        <v>16666.666666666668</v>
      </c>
      <c r="H25" s="93">
        <v>16666.666666666668</v>
      </c>
      <c r="I25" s="93">
        <v>16666.666666666668</v>
      </c>
      <c r="J25" s="93">
        <v>16666.666666666668</v>
      </c>
      <c r="K25" s="93">
        <v>16666.666666666668</v>
      </c>
      <c r="L25" s="93">
        <v>16666.666666666668</v>
      </c>
      <c r="M25" s="93">
        <v>16666.666666666668</v>
      </c>
      <c r="N25" s="93">
        <v>16666.666666666668</v>
      </c>
      <c r="O25" s="93">
        <v>16666.666666666668</v>
      </c>
      <c r="P25" s="93">
        <v>199999.99999999997</v>
      </c>
    </row>
    <row r="26" spans="1:32">
      <c r="A26" s="106"/>
      <c r="B26" s="106"/>
      <c r="C26" s="107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32">
      <c r="A27" s="111" t="s">
        <v>147</v>
      </c>
      <c r="B27" s="116"/>
      <c r="C27" s="113"/>
      <c r="D27" s="117">
        <v>6878127.8496233327</v>
      </c>
      <c r="E27" s="117">
        <v>1090889.2096233333</v>
      </c>
      <c r="F27" s="117">
        <v>664899.20962333342</v>
      </c>
      <c r="G27" s="117">
        <v>3739440.8896233332</v>
      </c>
      <c r="H27" s="117">
        <v>1225527.2096233333</v>
      </c>
      <c r="I27" s="117">
        <v>662927.20962333342</v>
      </c>
      <c r="J27" s="117">
        <v>3739440.8896233332</v>
      </c>
      <c r="K27" s="117">
        <v>662927.20962333342</v>
      </c>
      <c r="L27" s="117">
        <v>662927.20962333342</v>
      </c>
      <c r="M27" s="117">
        <v>895007.20962333342</v>
      </c>
      <c r="N27" s="117">
        <v>665943.20962333342</v>
      </c>
      <c r="O27" s="117">
        <v>669829.20962333342</v>
      </c>
      <c r="P27" s="117">
        <v>21557886.515479997</v>
      </c>
    </row>
    <row r="28" spans="1:32">
      <c r="A28" s="108">
        <v>5131</v>
      </c>
      <c r="B28" s="108">
        <v>31101</v>
      </c>
      <c r="C28" s="109" t="s">
        <v>11</v>
      </c>
      <c r="D28" s="93">
        <v>37500</v>
      </c>
      <c r="E28" s="93">
        <v>37500</v>
      </c>
      <c r="F28" s="93">
        <v>37500</v>
      </c>
      <c r="G28" s="93">
        <v>37500</v>
      </c>
      <c r="H28" s="93">
        <v>37500</v>
      </c>
      <c r="I28" s="93">
        <v>37500</v>
      </c>
      <c r="J28" s="93">
        <v>37500</v>
      </c>
      <c r="K28" s="93">
        <v>37500</v>
      </c>
      <c r="L28" s="93">
        <v>37500</v>
      </c>
      <c r="M28" s="93">
        <v>37500</v>
      </c>
      <c r="N28" s="93">
        <v>37500</v>
      </c>
      <c r="O28" s="93">
        <v>37500</v>
      </c>
      <c r="P28" s="93">
        <v>450000</v>
      </c>
    </row>
    <row r="29" spans="1:32">
      <c r="A29" s="108">
        <v>5131</v>
      </c>
      <c r="B29" s="108">
        <v>31201</v>
      </c>
      <c r="C29" s="109" t="s">
        <v>160</v>
      </c>
      <c r="D29" s="93">
        <v>6000</v>
      </c>
      <c r="E29" s="93">
        <v>5750</v>
      </c>
      <c r="F29" s="93">
        <v>2000</v>
      </c>
      <c r="G29" s="93">
        <v>300</v>
      </c>
      <c r="H29" s="93">
        <v>300</v>
      </c>
      <c r="I29" s="93">
        <v>300</v>
      </c>
      <c r="J29" s="93">
        <v>300</v>
      </c>
      <c r="K29" s="93">
        <v>300</v>
      </c>
      <c r="L29" s="93">
        <v>300</v>
      </c>
      <c r="M29" s="93">
        <v>300</v>
      </c>
      <c r="N29" s="93">
        <v>2900</v>
      </c>
      <c r="O29" s="93">
        <v>6250</v>
      </c>
      <c r="P29" s="93">
        <v>25000</v>
      </c>
    </row>
    <row r="30" spans="1:32">
      <c r="A30" s="89">
        <v>5131</v>
      </c>
      <c r="B30" s="89">
        <v>31401</v>
      </c>
      <c r="C30" s="90" t="s">
        <v>119</v>
      </c>
      <c r="D30" s="93">
        <v>29166.666666666668</v>
      </c>
      <c r="E30" s="93">
        <v>29166.666666666668</v>
      </c>
      <c r="F30" s="93">
        <v>29166.666666666668</v>
      </c>
      <c r="G30" s="93">
        <v>29166.666666666668</v>
      </c>
      <c r="H30" s="93">
        <v>29166.666666666668</v>
      </c>
      <c r="I30" s="93">
        <v>29166.666666666668</v>
      </c>
      <c r="J30" s="93">
        <v>29166.666666666668</v>
      </c>
      <c r="K30" s="93">
        <v>29166.666666666668</v>
      </c>
      <c r="L30" s="93">
        <v>29166.666666666668</v>
      </c>
      <c r="M30" s="93">
        <v>29166.666666666668</v>
      </c>
      <c r="N30" s="93">
        <v>29166.666666666668</v>
      </c>
      <c r="O30" s="93">
        <v>29166.666666666668</v>
      </c>
      <c r="P30" s="93">
        <v>350000.00000000006</v>
      </c>
    </row>
    <row r="31" spans="1:32">
      <c r="A31" s="89">
        <v>5131</v>
      </c>
      <c r="B31" s="89">
        <v>31801</v>
      </c>
      <c r="C31" s="90" t="s">
        <v>120</v>
      </c>
      <c r="D31" s="93">
        <v>2500</v>
      </c>
      <c r="E31" s="93">
        <v>2500</v>
      </c>
      <c r="F31" s="93">
        <v>2500</v>
      </c>
      <c r="G31" s="93">
        <v>2500</v>
      </c>
      <c r="H31" s="93">
        <v>2500</v>
      </c>
      <c r="I31" s="93">
        <v>2500</v>
      </c>
      <c r="J31" s="93">
        <v>2500</v>
      </c>
      <c r="K31" s="93">
        <v>2500</v>
      </c>
      <c r="L31" s="93">
        <v>2500</v>
      </c>
      <c r="M31" s="93">
        <v>2500</v>
      </c>
      <c r="N31" s="93">
        <v>2500</v>
      </c>
      <c r="O31" s="93">
        <v>2500</v>
      </c>
      <c r="P31" s="93">
        <v>30000</v>
      </c>
    </row>
    <row r="32" spans="1:32">
      <c r="A32" s="89">
        <v>5131</v>
      </c>
      <c r="B32" s="89">
        <v>31901</v>
      </c>
      <c r="C32" s="90" t="s">
        <v>121</v>
      </c>
      <c r="D32" s="93">
        <v>1083.3333333333333</v>
      </c>
      <c r="E32" s="93">
        <v>1083.3333333333333</v>
      </c>
      <c r="F32" s="93">
        <v>1083.3333333333333</v>
      </c>
      <c r="G32" s="93">
        <v>1083.3333333333333</v>
      </c>
      <c r="H32" s="93">
        <v>1083.3333333333333</v>
      </c>
      <c r="I32" s="93">
        <v>1083.3333333333333</v>
      </c>
      <c r="J32" s="93">
        <v>1083.3333333333333</v>
      </c>
      <c r="K32" s="93">
        <v>1083.3333333333333</v>
      </c>
      <c r="L32" s="93">
        <v>1083.3333333333333</v>
      </c>
      <c r="M32" s="93">
        <v>1083.3333333333333</v>
      </c>
      <c r="N32" s="93">
        <v>1083.3333333333333</v>
      </c>
      <c r="O32" s="93">
        <v>1083.3333333333333</v>
      </c>
      <c r="P32" s="93">
        <v>13000.000000000002</v>
      </c>
    </row>
    <row r="33" spans="1:16">
      <c r="A33" s="89">
        <v>5132</v>
      </c>
      <c r="B33" s="89">
        <v>32901</v>
      </c>
      <c r="C33" s="90" t="s">
        <v>122</v>
      </c>
      <c r="D33" s="93">
        <v>3300</v>
      </c>
      <c r="E33" s="93">
        <v>3300</v>
      </c>
      <c r="F33" s="93">
        <v>3300</v>
      </c>
      <c r="G33" s="93">
        <v>3300</v>
      </c>
      <c r="H33" s="93">
        <v>3300</v>
      </c>
      <c r="I33" s="93">
        <v>3300</v>
      </c>
      <c r="J33" s="93">
        <v>3300</v>
      </c>
      <c r="K33" s="93">
        <v>3300</v>
      </c>
      <c r="L33" s="93">
        <v>3300</v>
      </c>
      <c r="M33" s="93">
        <v>3300</v>
      </c>
      <c r="N33" s="93">
        <v>3300</v>
      </c>
      <c r="O33" s="93">
        <v>3300</v>
      </c>
      <c r="P33" s="93">
        <v>39600</v>
      </c>
    </row>
    <row r="34" spans="1:16">
      <c r="A34" s="89">
        <v>5133</v>
      </c>
      <c r="B34" s="89">
        <v>33101</v>
      </c>
      <c r="C34" s="90" t="s">
        <v>123</v>
      </c>
      <c r="D34" s="93">
        <v>33333.333333333336</v>
      </c>
      <c r="E34" s="93">
        <v>33333.333333333336</v>
      </c>
      <c r="F34" s="93">
        <v>33333.333333333336</v>
      </c>
      <c r="G34" s="93">
        <v>33333.333333333336</v>
      </c>
      <c r="H34" s="93">
        <v>33333.333333333336</v>
      </c>
      <c r="I34" s="93">
        <v>33333.333333333336</v>
      </c>
      <c r="J34" s="93">
        <v>33333.333333333336</v>
      </c>
      <c r="K34" s="93">
        <v>33333.333333333336</v>
      </c>
      <c r="L34" s="93">
        <v>33333.333333333336</v>
      </c>
      <c r="M34" s="93">
        <v>33333.333333333336</v>
      </c>
      <c r="N34" s="93">
        <v>33333.333333333336</v>
      </c>
      <c r="O34" s="93">
        <v>33333.333333333336</v>
      </c>
      <c r="P34" s="93">
        <v>399999.99999999994</v>
      </c>
    </row>
    <row r="35" spans="1:16">
      <c r="A35" s="89">
        <v>5133</v>
      </c>
      <c r="B35" s="89">
        <v>33301</v>
      </c>
      <c r="C35" s="90" t="s">
        <v>124</v>
      </c>
      <c r="D35" s="93">
        <v>20833.333333333332</v>
      </c>
      <c r="E35" s="93">
        <v>20833.333333333332</v>
      </c>
      <c r="F35" s="93">
        <v>20833.333333333332</v>
      </c>
      <c r="G35" s="93">
        <v>20833.333333333332</v>
      </c>
      <c r="H35" s="93">
        <v>20833.333333333332</v>
      </c>
      <c r="I35" s="93">
        <v>20833.333333333332</v>
      </c>
      <c r="J35" s="93">
        <v>20833.333333333332</v>
      </c>
      <c r="K35" s="93">
        <v>20833.333333333332</v>
      </c>
      <c r="L35" s="93">
        <v>20833.333333333332</v>
      </c>
      <c r="M35" s="93">
        <v>20833.333333333332</v>
      </c>
      <c r="N35" s="93">
        <v>20833.333333333332</v>
      </c>
      <c r="O35" s="93">
        <v>20833.333333333332</v>
      </c>
      <c r="P35" s="93">
        <v>250000.00000000003</v>
      </c>
    </row>
    <row r="36" spans="1:16">
      <c r="A36" s="89">
        <v>5133</v>
      </c>
      <c r="B36" s="89">
        <v>33401</v>
      </c>
      <c r="C36" s="90" t="s">
        <v>125</v>
      </c>
      <c r="D36" s="93">
        <v>11666.666666666666</v>
      </c>
      <c r="E36" s="93">
        <v>11666.666666666666</v>
      </c>
      <c r="F36" s="93">
        <v>11666.666666666666</v>
      </c>
      <c r="G36" s="93">
        <v>11666.666666666666</v>
      </c>
      <c r="H36" s="93">
        <v>11666.666666666666</v>
      </c>
      <c r="I36" s="93">
        <v>11666.666666666666</v>
      </c>
      <c r="J36" s="93">
        <v>11666.666666666666</v>
      </c>
      <c r="K36" s="93">
        <v>11666.666666666666</v>
      </c>
      <c r="L36" s="93">
        <v>11666.666666666666</v>
      </c>
      <c r="M36" s="93">
        <v>11666.666666666666</v>
      </c>
      <c r="N36" s="93">
        <v>11666.666666666666</v>
      </c>
      <c r="O36" s="93">
        <v>11666.666666666666</v>
      </c>
      <c r="P36" s="93">
        <v>140000.00000000003</v>
      </c>
    </row>
    <row r="37" spans="1:16">
      <c r="A37" s="89">
        <v>5133</v>
      </c>
      <c r="B37" s="89">
        <v>33901</v>
      </c>
      <c r="C37" s="90" t="s">
        <v>126</v>
      </c>
      <c r="D37" s="93">
        <v>2526404</v>
      </c>
      <c r="E37" s="93"/>
      <c r="F37" s="93"/>
      <c r="G37" s="93">
        <v>2452098</v>
      </c>
      <c r="H37" s="93"/>
      <c r="I37" s="93"/>
      <c r="J37" s="93">
        <v>2452098</v>
      </c>
      <c r="K37" s="93"/>
      <c r="L37" s="93"/>
      <c r="M37" s="93"/>
      <c r="N37" s="93"/>
      <c r="O37" s="93"/>
      <c r="P37" s="93">
        <v>7430600</v>
      </c>
    </row>
    <row r="38" spans="1:16">
      <c r="A38" s="89">
        <v>5134</v>
      </c>
      <c r="B38" s="89">
        <v>34101</v>
      </c>
      <c r="C38" s="90" t="s">
        <v>141</v>
      </c>
      <c r="D38" s="93">
        <v>4166.666666666667</v>
      </c>
      <c r="E38" s="93">
        <v>4166.666666666667</v>
      </c>
      <c r="F38" s="93">
        <v>4166.666666666667</v>
      </c>
      <c r="G38" s="93">
        <v>4166.666666666667</v>
      </c>
      <c r="H38" s="93">
        <v>4166.666666666667</v>
      </c>
      <c r="I38" s="93">
        <v>4166.666666666667</v>
      </c>
      <c r="J38" s="93">
        <v>4166.666666666667</v>
      </c>
      <c r="K38" s="93">
        <v>4166.666666666667</v>
      </c>
      <c r="L38" s="93">
        <v>4166.666666666667</v>
      </c>
      <c r="M38" s="93">
        <v>4166.666666666667</v>
      </c>
      <c r="N38" s="93">
        <v>4166.666666666667</v>
      </c>
      <c r="O38" s="93">
        <v>4166.666666666667</v>
      </c>
      <c r="P38" s="93">
        <v>49999.999999999993</v>
      </c>
    </row>
    <row r="39" spans="1:16">
      <c r="A39" s="89">
        <v>5134</v>
      </c>
      <c r="B39" s="89">
        <v>34501</v>
      </c>
      <c r="C39" s="90" t="s">
        <v>127</v>
      </c>
      <c r="D39" s="93">
        <v>16666.666666666668</v>
      </c>
      <c r="E39" s="93">
        <v>16666.666666666668</v>
      </c>
      <c r="F39" s="93">
        <v>16666.666666666668</v>
      </c>
      <c r="G39" s="93">
        <v>16666.666666666668</v>
      </c>
      <c r="H39" s="93">
        <v>16666.666666666668</v>
      </c>
      <c r="I39" s="93">
        <v>16666.666666666668</v>
      </c>
      <c r="J39" s="93">
        <v>16666.666666666668</v>
      </c>
      <c r="K39" s="93">
        <v>16666.666666666668</v>
      </c>
      <c r="L39" s="93">
        <v>16666.666666666668</v>
      </c>
      <c r="M39" s="93">
        <v>16666.666666666668</v>
      </c>
      <c r="N39" s="93">
        <v>16666.666666666668</v>
      </c>
      <c r="O39" s="93">
        <v>16666.666666666668</v>
      </c>
      <c r="P39" s="93">
        <v>199999.99999999997</v>
      </c>
    </row>
    <row r="40" spans="1:16">
      <c r="A40" s="89">
        <v>5134</v>
      </c>
      <c r="B40" s="89">
        <v>34901</v>
      </c>
      <c r="C40" s="90" t="s">
        <v>128</v>
      </c>
      <c r="D40" s="93">
        <v>1699.0074699999998</v>
      </c>
      <c r="E40" s="93">
        <v>1699.0074699999998</v>
      </c>
      <c r="F40" s="93">
        <v>1699.0074699999998</v>
      </c>
      <c r="G40" s="93">
        <v>1699.0074699999998</v>
      </c>
      <c r="H40" s="93">
        <v>1699.0074699999998</v>
      </c>
      <c r="I40" s="93">
        <v>1699.0074699999998</v>
      </c>
      <c r="J40" s="93">
        <v>1699.0074699999998</v>
      </c>
      <c r="K40" s="93">
        <v>1699.0074699999998</v>
      </c>
      <c r="L40" s="93">
        <v>1699.0074699999998</v>
      </c>
      <c r="M40" s="93">
        <v>1699.0074699999998</v>
      </c>
      <c r="N40" s="93">
        <v>1699.0074699999998</v>
      </c>
      <c r="O40" s="93">
        <v>1699.0074699999998</v>
      </c>
      <c r="P40" s="93">
        <v>20388.089640000002</v>
      </c>
    </row>
    <row r="41" spans="1:16">
      <c r="A41" s="89">
        <v>5135</v>
      </c>
      <c r="B41" s="89">
        <v>35101</v>
      </c>
      <c r="C41" s="90" t="s">
        <v>129</v>
      </c>
      <c r="D41" s="93">
        <v>200000</v>
      </c>
      <c r="E41" s="93"/>
      <c r="F41" s="93"/>
      <c r="G41" s="93">
        <v>200000</v>
      </c>
      <c r="H41" s="93"/>
      <c r="I41" s="93"/>
      <c r="J41" s="93">
        <v>200000</v>
      </c>
      <c r="K41" s="93"/>
      <c r="L41" s="93"/>
      <c r="M41" s="93">
        <v>200000</v>
      </c>
      <c r="N41" s="93"/>
      <c r="O41" s="93"/>
      <c r="P41" s="93">
        <v>800000</v>
      </c>
    </row>
    <row r="42" spans="1:16">
      <c r="A42" s="89">
        <v>5135</v>
      </c>
      <c r="B42" s="89">
        <v>35201</v>
      </c>
      <c r="C42" s="90" t="s">
        <v>130</v>
      </c>
      <c r="D42" s="93">
        <v>5000</v>
      </c>
      <c r="E42" s="93">
        <v>5000</v>
      </c>
      <c r="F42" s="93">
        <v>5000</v>
      </c>
      <c r="G42" s="93">
        <v>5000</v>
      </c>
      <c r="H42" s="93">
        <v>5000</v>
      </c>
      <c r="I42" s="93">
        <v>5000</v>
      </c>
      <c r="J42" s="93">
        <v>5000</v>
      </c>
      <c r="K42" s="93">
        <v>5000</v>
      </c>
      <c r="L42" s="93">
        <v>5000</v>
      </c>
      <c r="M42" s="93">
        <v>5000</v>
      </c>
      <c r="N42" s="93">
        <v>5000</v>
      </c>
      <c r="O42" s="93">
        <v>5000</v>
      </c>
      <c r="P42" s="93">
        <v>60000</v>
      </c>
    </row>
    <row r="43" spans="1:16">
      <c r="A43" s="89">
        <v>5135</v>
      </c>
      <c r="B43" s="89">
        <v>35501</v>
      </c>
      <c r="C43" s="90" t="s">
        <v>131</v>
      </c>
      <c r="D43" s="93">
        <v>25000</v>
      </c>
      <c r="E43" s="93">
        <v>25000</v>
      </c>
      <c r="F43" s="93">
        <v>25000</v>
      </c>
      <c r="G43" s="93">
        <v>25000</v>
      </c>
      <c r="H43" s="93">
        <v>25000</v>
      </c>
      <c r="I43" s="93">
        <v>25000</v>
      </c>
      <c r="J43" s="93">
        <v>25000</v>
      </c>
      <c r="K43" s="93">
        <v>25000</v>
      </c>
      <c r="L43" s="93">
        <v>25000</v>
      </c>
      <c r="M43" s="93">
        <v>25000</v>
      </c>
      <c r="N43" s="93">
        <v>25000</v>
      </c>
      <c r="O43" s="93">
        <v>25000</v>
      </c>
      <c r="P43" s="93">
        <v>300000</v>
      </c>
    </row>
    <row r="44" spans="1:16">
      <c r="A44" s="89">
        <v>5135</v>
      </c>
      <c r="B44" s="89">
        <v>35801</v>
      </c>
      <c r="C44" s="90" t="s">
        <v>132</v>
      </c>
      <c r="D44" s="93">
        <v>13569.7145</v>
      </c>
      <c r="E44" s="93">
        <v>13569.7145</v>
      </c>
      <c r="F44" s="93">
        <v>13569.7145</v>
      </c>
      <c r="G44" s="93">
        <v>13569.7145</v>
      </c>
      <c r="H44" s="93">
        <v>13569.7145</v>
      </c>
      <c r="I44" s="93">
        <v>13569.7145</v>
      </c>
      <c r="J44" s="93">
        <v>13569.7145</v>
      </c>
      <c r="K44" s="93">
        <v>13569.7145</v>
      </c>
      <c r="L44" s="93">
        <v>13569.7145</v>
      </c>
      <c r="M44" s="93">
        <v>13569.7145</v>
      </c>
      <c r="N44" s="93">
        <v>13569.7145</v>
      </c>
      <c r="O44" s="93">
        <v>13569.7145</v>
      </c>
      <c r="P44" s="93">
        <v>162836.57399999999</v>
      </c>
    </row>
    <row r="45" spans="1:16">
      <c r="A45" s="89">
        <v>5137</v>
      </c>
      <c r="B45" s="89">
        <v>37501</v>
      </c>
      <c r="C45" s="90" t="s">
        <v>133</v>
      </c>
      <c r="D45" s="93">
        <v>60000</v>
      </c>
      <c r="E45" s="93">
        <v>60000</v>
      </c>
      <c r="F45" s="93">
        <v>60000</v>
      </c>
      <c r="G45" s="93">
        <v>60000</v>
      </c>
      <c r="H45" s="93">
        <v>60000</v>
      </c>
      <c r="I45" s="93">
        <v>60000</v>
      </c>
      <c r="J45" s="93">
        <v>60000</v>
      </c>
      <c r="K45" s="93">
        <v>60000</v>
      </c>
      <c r="L45" s="93">
        <v>60000</v>
      </c>
      <c r="M45" s="93">
        <v>60000</v>
      </c>
      <c r="N45" s="93">
        <v>60000</v>
      </c>
      <c r="O45" s="93">
        <v>60000</v>
      </c>
      <c r="P45" s="93">
        <v>720000</v>
      </c>
    </row>
    <row r="46" spans="1:16">
      <c r="A46" s="89">
        <v>5137</v>
      </c>
      <c r="B46" s="89">
        <v>37601</v>
      </c>
      <c r="C46" s="90" t="s">
        <v>134</v>
      </c>
      <c r="D46" s="93">
        <v>117333.33333333333</v>
      </c>
      <c r="E46" s="93">
        <v>117333.33333333333</v>
      </c>
      <c r="F46" s="93">
        <v>117333.33333333333</v>
      </c>
      <c r="G46" s="93">
        <v>117333.33333333333</v>
      </c>
      <c r="H46" s="93">
        <v>117333.33333333333</v>
      </c>
      <c r="I46" s="93">
        <v>117333.33333333333</v>
      </c>
      <c r="J46" s="93">
        <v>117333.33333333333</v>
      </c>
      <c r="K46" s="93">
        <v>117333.33333333333</v>
      </c>
      <c r="L46" s="93">
        <v>117333.33333333333</v>
      </c>
      <c r="M46" s="93">
        <v>117333.33333333333</v>
      </c>
      <c r="N46" s="93">
        <v>117333.33333333333</v>
      </c>
      <c r="O46" s="93">
        <v>117333.33333333333</v>
      </c>
      <c r="P46" s="93">
        <v>1407999.9999999998</v>
      </c>
    </row>
    <row r="47" spans="1:16">
      <c r="A47" s="89">
        <v>5138</v>
      </c>
      <c r="B47" s="89">
        <v>38301</v>
      </c>
      <c r="C47" s="90" t="s">
        <v>135</v>
      </c>
      <c r="D47" s="93">
        <v>464000</v>
      </c>
      <c r="E47" s="93">
        <v>350000</v>
      </c>
      <c r="F47" s="93">
        <v>75000</v>
      </c>
      <c r="G47" s="93">
        <v>75000</v>
      </c>
      <c r="H47" s="93">
        <v>560000</v>
      </c>
      <c r="I47" s="93">
        <v>75000</v>
      </c>
      <c r="J47" s="93">
        <v>75000</v>
      </c>
      <c r="K47" s="93">
        <v>75000</v>
      </c>
      <c r="L47" s="93">
        <v>75000</v>
      </c>
      <c r="M47" s="93">
        <v>75000</v>
      </c>
      <c r="N47" s="93">
        <v>75000</v>
      </c>
      <c r="O47" s="93">
        <v>75000</v>
      </c>
      <c r="P47" s="93">
        <v>2049000</v>
      </c>
    </row>
    <row r="48" spans="1:16">
      <c r="A48" s="89">
        <v>5138</v>
      </c>
      <c r="B48" s="89">
        <v>38501</v>
      </c>
      <c r="C48" s="90" t="s">
        <v>136</v>
      </c>
      <c r="D48" s="93">
        <v>30000</v>
      </c>
      <c r="E48" s="93">
        <v>30000</v>
      </c>
      <c r="F48" s="93">
        <v>30000</v>
      </c>
      <c r="G48" s="93">
        <v>30000</v>
      </c>
      <c r="H48" s="93">
        <v>30000</v>
      </c>
      <c r="I48" s="93">
        <v>30000</v>
      </c>
      <c r="J48" s="93">
        <v>30000</v>
      </c>
      <c r="K48" s="93">
        <v>30000</v>
      </c>
      <c r="L48" s="93">
        <v>30000</v>
      </c>
      <c r="M48" s="93">
        <v>30000</v>
      </c>
      <c r="N48" s="93">
        <v>30000</v>
      </c>
      <c r="O48" s="93">
        <v>30000</v>
      </c>
      <c r="P48" s="93">
        <v>360000</v>
      </c>
    </row>
    <row r="49" spans="1:16">
      <c r="A49" s="89">
        <v>5139</v>
      </c>
      <c r="B49" s="89">
        <v>39201</v>
      </c>
      <c r="C49" s="90" t="s">
        <v>1002</v>
      </c>
      <c r="D49" s="93">
        <v>3233071.7943199999</v>
      </c>
      <c r="E49" s="93">
        <v>286487.15431999997</v>
      </c>
      <c r="F49" s="93">
        <v>139247.15432</v>
      </c>
      <c r="G49" s="93">
        <v>563390.83431999991</v>
      </c>
      <c r="H49" s="93">
        <v>216575.15432</v>
      </c>
      <c r="I49" s="93">
        <v>138975.15432</v>
      </c>
      <c r="J49" s="93">
        <v>563390.83431999991</v>
      </c>
      <c r="K49" s="93">
        <v>138975.15432</v>
      </c>
      <c r="L49" s="93">
        <v>138975.15432</v>
      </c>
      <c r="M49" s="93">
        <v>171055.15432</v>
      </c>
      <c r="N49" s="93">
        <v>139391.15432</v>
      </c>
      <c r="O49" s="93">
        <v>139927.15432</v>
      </c>
      <c r="P49" s="93">
        <v>5869461.8518399987</v>
      </c>
    </row>
    <row r="50" spans="1:16">
      <c r="A50" s="89">
        <v>5139</v>
      </c>
      <c r="B50" s="89">
        <v>39801</v>
      </c>
      <c r="C50" s="90" t="s">
        <v>608</v>
      </c>
      <c r="D50" s="93">
        <v>35000</v>
      </c>
      <c r="E50" s="93">
        <v>35000</v>
      </c>
      <c r="F50" s="93">
        <v>35000</v>
      </c>
      <c r="G50" s="93">
        <v>35000</v>
      </c>
      <c r="H50" s="93">
        <v>35000</v>
      </c>
      <c r="I50" s="93">
        <v>35000</v>
      </c>
      <c r="J50" s="93">
        <v>35000</v>
      </c>
      <c r="K50" s="93">
        <v>35000</v>
      </c>
      <c r="L50" s="93">
        <v>35000</v>
      </c>
      <c r="M50" s="93">
        <v>35000</v>
      </c>
      <c r="N50" s="93">
        <v>35000</v>
      </c>
      <c r="O50" s="93">
        <v>35000</v>
      </c>
      <c r="P50" s="93">
        <v>420000</v>
      </c>
    </row>
    <row r="51" spans="1:16">
      <c r="A51" s="89">
        <v>5139</v>
      </c>
      <c r="B51" s="89">
        <v>39901</v>
      </c>
      <c r="C51" s="90" t="s">
        <v>137</v>
      </c>
      <c r="D51" s="93">
        <v>833.33333333333337</v>
      </c>
      <c r="E51" s="93">
        <v>833.33333333333337</v>
      </c>
      <c r="F51" s="93">
        <v>833.33333333333337</v>
      </c>
      <c r="G51" s="93">
        <v>833.33333333333337</v>
      </c>
      <c r="H51" s="93">
        <v>833.33333333333337</v>
      </c>
      <c r="I51" s="93">
        <v>833.33333333333337</v>
      </c>
      <c r="J51" s="93">
        <v>833.33333333333337</v>
      </c>
      <c r="K51" s="93">
        <v>833.33333333333337</v>
      </c>
      <c r="L51" s="93">
        <v>833.33333333333337</v>
      </c>
      <c r="M51" s="93">
        <v>833.33333333333337</v>
      </c>
      <c r="N51" s="93">
        <v>833.33333333333337</v>
      </c>
      <c r="O51" s="93">
        <v>833.33333333333337</v>
      </c>
      <c r="P51" s="93">
        <v>10000</v>
      </c>
    </row>
    <row r="52" spans="1:16">
      <c r="A52" s="106"/>
      <c r="B52" s="106"/>
      <c r="C52" s="107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6">
      <c r="A53" s="563" t="s">
        <v>1847</v>
      </c>
      <c r="B53" s="587"/>
      <c r="C53" s="149"/>
      <c r="D53" s="150">
        <v>84749.523684750005</v>
      </c>
      <c r="E53" s="150">
        <v>84749.523684750005</v>
      </c>
      <c r="F53" s="150">
        <v>84749.523684750005</v>
      </c>
      <c r="G53" s="150">
        <v>84749.523684750005</v>
      </c>
      <c r="H53" s="150">
        <v>84749.523684750005</v>
      </c>
      <c r="I53" s="150">
        <v>84749.523684750005</v>
      </c>
      <c r="J53" s="150">
        <v>84749.523684750005</v>
      </c>
      <c r="K53" s="150">
        <v>84749.523684750005</v>
      </c>
      <c r="L53" s="150">
        <v>84749.523684750005</v>
      </c>
      <c r="M53" s="150">
        <v>84749.523684750005</v>
      </c>
      <c r="N53" s="150">
        <v>84749.523684750005</v>
      </c>
      <c r="O53" s="150">
        <v>84749.523684750005</v>
      </c>
      <c r="P53" s="150">
        <v>1016994.284217</v>
      </c>
    </row>
    <row r="54" spans="1:16">
      <c r="A54" s="108">
        <v>5212</v>
      </c>
      <c r="B54" s="108">
        <v>41503</v>
      </c>
      <c r="C54" s="109" t="s">
        <v>1848</v>
      </c>
      <c r="D54" s="93">
        <v>20000</v>
      </c>
      <c r="E54" s="93">
        <v>20000</v>
      </c>
      <c r="F54" s="93">
        <v>20000</v>
      </c>
      <c r="G54" s="93">
        <v>20000</v>
      </c>
      <c r="H54" s="93">
        <v>20000</v>
      </c>
      <c r="I54" s="93">
        <v>20000</v>
      </c>
      <c r="J54" s="93">
        <v>20000</v>
      </c>
      <c r="K54" s="93">
        <v>20000</v>
      </c>
      <c r="L54" s="93">
        <v>20000</v>
      </c>
      <c r="M54" s="93">
        <v>20000</v>
      </c>
      <c r="N54" s="93">
        <v>20000</v>
      </c>
      <c r="O54" s="93">
        <v>20000</v>
      </c>
      <c r="P54" s="93">
        <v>240000</v>
      </c>
    </row>
    <row r="55" spans="1:16">
      <c r="A55" s="108">
        <v>5251</v>
      </c>
      <c r="B55" s="108">
        <v>45101</v>
      </c>
      <c r="C55" s="109" t="s">
        <v>1849</v>
      </c>
      <c r="D55" s="93">
        <v>37205.905671749999</v>
      </c>
      <c r="E55" s="93">
        <v>37205.905671749999</v>
      </c>
      <c r="F55" s="93">
        <v>37205.905671749999</v>
      </c>
      <c r="G55" s="93">
        <v>37205.905671749999</v>
      </c>
      <c r="H55" s="93">
        <v>37205.905671749999</v>
      </c>
      <c r="I55" s="93">
        <v>37205.905671749999</v>
      </c>
      <c r="J55" s="93">
        <v>37205.905671749999</v>
      </c>
      <c r="K55" s="93">
        <v>37205.905671749999</v>
      </c>
      <c r="L55" s="93">
        <v>37205.905671749999</v>
      </c>
      <c r="M55" s="93">
        <v>37205.905671749999</v>
      </c>
      <c r="N55" s="93">
        <v>37205.905671749999</v>
      </c>
      <c r="O55" s="93">
        <v>37205.905671749999</v>
      </c>
      <c r="P55" s="93">
        <v>446470.86806100007</v>
      </c>
    </row>
    <row r="56" spans="1:16">
      <c r="A56" s="89">
        <v>5251</v>
      </c>
      <c r="B56" s="89">
        <v>45201</v>
      </c>
      <c r="C56" s="90" t="s">
        <v>1850</v>
      </c>
      <c r="D56" s="93">
        <v>27543.618013000003</v>
      </c>
      <c r="E56" s="93">
        <v>27543.618013000003</v>
      </c>
      <c r="F56" s="93">
        <v>27543.618013000003</v>
      </c>
      <c r="G56" s="93">
        <v>27543.618013000003</v>
      </c>
      <c r="H56" s="93">
        <v>27543.618013000003</v>
      </c>
      <c r="I56" s="93">
        <v>27543.618013000003</v>
      </c>
      <c r="J56" s="93">
        <v>27543.618013000003</v>
      </c>
      <c r="K56" s="93">
        <v>27543.618013000003</v>
      </c>
      <c r="L56" s="93">
        <v>27543.618013000003</v>
      </c>
      <c r="M56" s="93">
        <v>27543.618013000003</v>
      </c>
      <c r="N56" s="93">
        <v>27543.618013000003</v>
      </c>
      <c r="O56" s="93">
        <v>27543.618013000003</v>
      </c>
      <c r="P56" s="93">
        <v>330523.41615600005</v>
      </c>
    </row>
    <row r="57" spans="1:16">
      <c r="A57" s="106"/>
      <c r="B57" s="106"/>
      <c r="C57" s="107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16">
      <c r="A58" s="111" t="s">
        <v>235</v>
      </c>
      <c r="B58" s="110"/>
      <c r="C58" s="94"/>
      <c r="D58" s="117">
        <f t="shared" ref="D58:P58" si="0">+D53+D27+D19+D8</f>
        <v>8471866.5179747492</v>
      </c>
      <c r="E58" s="117">
        <f t="shared" si="0"/>
        <v>2684127.8779747495</v>
      </c>
      <c r="F58" s="117">
        <f t="shared" si="0"/>
        <v>2258137.8779747495</v>
      </c>
      <c r="G58" s="117">
        <f t="shared" si="0"/>
        <v>5333179.5579747492</v>
      </c>
      <c r="H58" s="117">
        <f t="shared" si="0"/>
        <v>2818765.8779747495</v>
      </c>
      <c r="I58" s="117">
        <f t="shared" si="0"/>
        <v>2345727.5529747498</v>
      </c>
      <c r="J58" s="117">
        <f t="shared" si="0"/>
        <v>5333179.5579747492</v>
      </c>
      <c r="K58" s="117">
        <f t="shared" si="0"/>
        <v>2256165.8779747495</v>
      </c>
      <c r="L58" s="117">
        <f t="shared" si="0"/>
        <v>2256165.8779747495</v>
      </c>
      <c r="M58" s="117">
        <f t="shared" si="0"/>
        <v>2488745.8779747495</v>
      </c>
      <c r="N58" s="117">
        <f t="shared" si="0"/>
        <v>2259181.8779747495</v>
      </c>
      <c r="O58" s="117">
        <f t="shared" si="0"/>
        <v>4165357.8549747495</v>
      </c>
      <c r="P58" s="117">
        <f t="shared" si="0"/>
        <v>42670602.187696993</v>
      </c>
    </row>
    <row r="59" spans="1:16">
      <c r="A59" s="115"/>
      <c r="B59" s="114"/>
    </row>
    <row r="60" spans="1:16">
      <c r="A60" s="115"/>
      <c r="B60" s="114"/>
    </row>
    <row r="61" spans="1:16">
      <c r="A61" s="118"/>
      <c r="B61" s="119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1:16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16" ht="15">
      <c r="A63" s="1596" t="s">
        <v>49</v>
      </c>
      <c r="B63" s="1597"/>
      <c r="C63" s="1597"/>
      <c r="D63" s="1597"/>
      <c r="E63" s="1597"/>
      <c r="F63" s="1597"/>
      <c r="G63" s="1597"/>
      <c r="H63" s="1597"/>
      <c r="I63" s="1597"/>
      <c r="J63" s="1597"/>
      <c r="K63" s="1597"/>
      <c r="L63" s="1597"/>
      <c r="M63" s="1597"/>
      <c r="N63" s="1597"/>
      <c r="O63" s="1597"/>
      <c r="P63" s="1597"/>
    </row>
    <row r="64" spans="1:16">
      <c r="A64" s="115"/>
      <c r="B64" s="114"/>
    </row>
    <row r="65" spans="1:16">
      <c r="A65" s="576" t="s">
        <v>149</v>
      </c>
      <c r="B65" s="577"/>
      <c r="C65" s="578"/>
      <c r="D65" s="574" t="s">
        <v>51</v>
      </c>
      <c r="E65" s="574" t="s">
        <v>52</v>
      </c>
      <c r="F65" s="574" t="s">
        <v>53</v>
      </c>
      <c r="G65" s="574" t="s">
        <v>54</v>
      </c>
      <c r="H65" s="574" t="s">
        <v>55</v>
      </c>
      <c r="I65" s="574" t="s">
        <v>56</v>
      </c>
      <c r="J65" s="574" t="s">
        <v>57</v>
      </c>
      <c r="K65" s="574" t="s">
        <v>58</v>
      </c>
      <c r="L65" s="574" t="s">
        <v>59</v>
      </c>
      <c r="M65" s="574" t="s">
        <v>60</v>
      </c>
      <c r="N65" s="574" t="s">
        <v>61</v>
      </c>
      <c r="O65" s="574" t="s">
        <v>62</v>
      </c>
      <c r="P65" s="574" t="s">
        <v>3253</v>
      </c>
    </row>
    <row r="66" spans="1:16">
      <c r="A66" s="111" t="s">
        <v>146</v>
      </c>
      <c r="B66" s="116"/>
      <c r="C66" s="113"/>
      <c r="D66" s="117">
        <v>88605.92</v>
      </c>
      <c r="E66" s="117">
        <v>88605.92</v>
      </c>
      <c r="F66" s="117">
        <v>88605.92</v>
      </c>
      <c r="G66" s="117">
        <v>88605.92</v>
      </c>
      <c r="H66" s="117">
        <v>88605.92</v>
      </c>
      <c r="I66" s="117">
        <v>88605.92</v>
      </c>
      <c r="J66" s="117">
        <v>88605.92</v>
      </c>
      <c r="K66" s="117">
        <v>88605.92</v>
      </c>
      <c r="L66" s="117">
        <v>88605.92</v>
      </c>
      <c r="M66" s="117">
        <v>88605.92</v>
      </c>
      <c r="N66" s="117">
        <v>88605.92</v>
      </c>
      <c r="O66" s="117">
        <v>88605.92</v>
      </c>
      <c r="P66" s="120">
        <v>1063271.0400000003</v>
      </c>
    </row>
    <row r="67" spans="1:16">
      <c r="A67" s="89">
        <v>5126</v>
      </c>
      <c r="B67" s="89">
        <v>26101</v>
      </c>
      <c r="C67" s="90" t="s">
        <v>118</v>
      </c>
      <c r="D67" s="93">
        <v>88605.92</v>
      </c>
      <c r="E67" s="93">
        <v>88605.92</v>
      </c>
      <c r="F67" s="93">
        <v>88605.92</v>
      </c>
      <c r="G67" s="93">
        <v>88605.92</v>
      </c>
      <c r="H67" s="93">
        <v>88605.92</v>
      </c>
      <c r="I67" s="93">
        <v>88605.92</v>
      </c>
      <c r="J67" s="93">
        <v>88605.92</v>
      </c>
      <c r="K67" s="93">
        <v>88605.92</v>
      </c>
      <c r="L67" s="93">
        <v>88605.92</v>
      </c>
      <c r="M67" s="93">
        <v>88605.92</v>
      </c>
      <c r="N67" s="93">
        <v>88605.92</v>
      </c>
      <c r="O67" s="93">
        <v>88605.92</v>
      </c>
      <c r="P67" s="93">
        <v>1063271.0400000003</v>
      </c>
    </row>
    <row r="68" spans="1:16">
      <c r="A68" s="89"/>
      <c r="B68" s="89"/>
      <c r="C68" s="9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>
      <c r="A69" s="111" t="s">
        <v>147</v>
      </c>
      <c r="B69" s="116"/>
      <c r="C69" s="113"/>
      <c r="D69" s="117">
        <v>18267595.798916668</v>
      </c>
      <c r="E69" s="117">
        <v>1267595.8389166666</v>
      </c>
      <c r="F69" s="117">
        <v>1267595.8389166666</v>
      </c>
      <c r="G69" s="117">
        <v>14267595.838916667</v>
      </c>
      <c r="H69" s="117">
        <v>1267595.8389166666</v>
      </c>
      <c r="I69" s="117">
        <v>1267595.8389166666</v>
      </c>
      <c r="J69" s="117">
        <v>14267595.838916667</v>
      </c>
      <c r="K69" s="117">
        <v>1267595.8389166666</v>
      </c>
      <c r="L69" s="117">
        <v>1267595.8389166666</v>
      </c>
      <c r="M69" s="117">
        <v>14267595.838916667</v>
      </c>
      <c r="N69" s="117">
        <v>1267595.8389166666</v>
      </c>
      <c r="O69" s="117">
        <v>1267595.8389166666</v>
      </c>
      <c r="P69" s="120">
        <v>71211150.026999995</v>
      </c>
    </row>
    <row r="70" spans="1:16">
      <c r="A70" s="89">
        <v>5131</v>
      </c>
      <c r="B70" s="89">
        <v>31101</v>
      </c>
      <c r="C70" s="90" t="s">
        <v>11</v>
      </c>
      <c r="D70" s="93">
        <v>515736</v>
      </c>
      <c r="E70" s="93">
        <v>515736</v>
      </c>
      <c r="F70" s="93">
        <v>515736</v>
      </c>
      <c r="G70" s="93">
        <v>515736</v>
      </c>
      <c r="H70" s="93">
        <v>515736</v>
      </c>
      <c r="I70" s="93">
        <v>515736</v>
      </c>
      <c r="J70" s="93">
        <v>515736</v>
      </c>
      <c r="K70" s="93">
        <v>515736</v>
      </c>
      <c r="L70" s="93">
        <v>515736</v>
      </c>
      <c r="M70" s="93">
        <v>515736</v>
      </c>
      <c r="N70" s="93">
        <v>515736</v>
      </c>
      <c r="O70" s="93">
        <v>515736</v>
      </c>
      <c r="P70" s="93">
        <v>6188832</v>
      </c>
    </row>
    <row r="71" spans="1:16">
      <c r="A71" s="89">
        <v>5131</v>
      </c>
      <c r="B71" s="89">
        <v>31301</v>
      </c>
      <c r="C71" s="90" t="s">
        <v>22</v>
      </c>
      <c r="D71" s="93">
        <v>13000000</v>
      </c>
      <c r="E71" s="93">
        <v>0</v>
      </c>
      <c r="F71" s="93">
        <v>0</v>
      </c>
      <c r="G71" s="93">
        <v>13000000</v>
      </c>
      <c r="H71" s="93">
        <v>0</v>
      </c>
      <c r="I71" s="93">
        <v>0</v>
      </c>
      <c r="J71" s="93">
        <v>13000000</v>
      </c>
      <c r="K71" s="93">
        <v>0</v>
      </c>
      <c r="L71" s="93">
        <v>0</v>
      </c>
      <c r="M71" s="93">
        <v>13000000</v>
      </c>
      <c r="N71" s="93">
        <v>0</v>
      </c>
      <c r="O71" s="93">
        <v>0</v>
      </c>
      <c r="P71" s="93">
        <v>52000000</v>
      </c>
    </row>
    <row r="72" spans="1:16">
      <c r="A72" s="89">
        <v>5133</v>
      </c>
      <c r="B72" s="89">
        <v>33801</v>
      </c>
      <c r="C72" s="90" t="s">
        <v>138</v>
      </c>
      <c r="D72" s="93">
        <v>333333.33333333331</v>
      </c>
      <c r="E72" s="93">
        <v>333333.33333333331</v>
      </c>
      <c r="F72" s="93">
        <v>333333.33333333331</v>
      </c>
      <c r="G72" s="93">
        <v>333333.33333333331</v>
      </c>
      <c r="H72" s="93">
        <v>333333.33333333331</v>
      </c>
      <c r="I72" s="93">
        <v>333333.33333333331</v>
      </c>
      <c r="J72" s="93">
        <v>333333.33333333331</v>
      </c>
      <c r="K72" s="93">
        <v>333333.33333333331</v>
      </c>
      <c r="L72" s="93">
        <v>333333.33333333331</v>
      </c>
      <c r="M72" s="93">
        <v>333333.33333333331</v>
      </c>
      <c r="N72" s="93">
        <v>333333.33333333331</v>
      </c>
      <c r="O72" s="93">
        <v>333333.33333333331</v>
      </c>
      <c r="P72" s="93">
        <v>4000000.0000000005</v>
      </c>
    </row>
    <row r="73" spans="1:16">
      <c r="A73" s="89">
        <v>5134</v>
      </c>
      <c r="B73" s="89">
        <v>34501</v>
      </c>
      <c r="C73" s="90" t="s">
        <v>127</v>
      </c>
      <c r="D73" s="41">
        <v>25000</v>
      </c>
      <c r="E73" s="41">
        <v>25000</v>
      </c>
      <c r="F73" s="41">
        <v>25000</v>
      </c>
      <c r="G73" s="41">
        <v>25000</v>
      </c>
      <c r="H73" s="41">
        <v>25000</v>
      </c>
      <c r="I73" s="41">
        <v>25000</v>
      </c>
      <c r="J73" s="41">
        <v>25000</v>
      </c>
      <c r="K73" s="41">
        <v>25000</v>
      </c>
      <c r="L73" s="41">
        <v>25000</v>
      </c>
      <c r="M73" s="41">
        <v>25000</v>
      </c>
      <c r="N73" s="41">
        <v>25000</v>
      </c>
      <c r="O73" s="41">
        <v>25000</v>
      </c>
      <c r="P73" s="93">
        <v>300000</v>
      </c>
    </row>
    <row r="74" spans="1:16">
      <c r="A74" s="89">
        <v>5135</v>
      </c>
      <c r="B74" s="89">
        <v>35101</v>
      </c>
      <c r="C74" s="90" t="s">
        <v>139</v>
      </c>
      <c r="D74" s="93">
        <v>393526.50558333332</v>
      </c>
      <c r="E74" s="93">
        <v>393526.50558333332</v>
      </c>
      <c r="F74" s="93">
        <v>393526.50558333332</v>
      </c>
      <c r="G74" s="93">
        <v>393526.50558333332</v>
      </c>
      <c r="H74" s="93">
        <v>393526.50558333332</v>
      </c>
      <c r="I74" s="93">
        <v>393526.50558333332</v>
      </c>
      <c r="J74" s="93">
        <v>393526.50558333332</v>
      </c>
      <c r="K74" s="93">
        <v>393526.50558333332</v>
      </c>
      <c r="L74" s="93">
        <v>393526.50558333332</v>
      </c>
      <c r="M74" s="93">
        <v>393526.50558333332</v>
      </c>
      <c r="N74" s="93">
        <v>393526.50558333332</v>
      </c>
      <c r="O74" s="93">
        <v>393526.50558333332</v>
      </c>
      <c r="P74" s="93">
        <v>4722318.0669999998</v>
      </c>
    </row>
    <row r="75" spans="1:16">
      <c r="A75" s="89">
        <v>5135</v>
      </c>
      <c r="B75" s="89">
        <v>35701</v>
      </c>
      <c r="C75" s="90" t="s">
        <v>140</v>
      </c>
      <c r="D75" s="93">
        <v>3999999.9600000004</v>
      </c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>
        <v>3999999.9600000004</v>
      </c>
    </row>
    <row r="76" spans="1:16">
      <c r="A76" s="111" t="s">
        <v>154</v>
      </c>
      <c r="B76" s="110"/>
      <c r="C76" s="94"/>
      <c r="D76" s="120">
        <f t="shared" ref="D76:P76" si="1">+D66+D69</f>
        <v>18356201.718916669</v>
      </c>
      <c r="E76" s="120">
        <f t="shared" si="1"/>
        <v>1356201.7589166665</v>
      </c>
      <c r="F76" s="120">
        <f t="shared" si="1"/>
        <v>1356201.7589166665</v>
      </c>
      <c r="G76" s="120">
        <f t="shared" si="1"/>
        <v>14356201.758916667</v>
      </c>
      <c r="H76" s="120">
        <f t="shared" si="1"/>
        <v>1356201.7589166665</v>
      </c>
      <c r="I76" s="120">
        <f t="shared" si="1"/>
        <v>1356201.7589166665</v>
      </c>
      <c r="J76" s="120">
        <f t="shared" si="1"/>
        <v>14356201.758916667</v>
      </c>
      <c r="K76" s="120">
        <f t="shared" si="1"/>
        <v>1356201.7589166665</v>
      </c>
      <c r="L76" s="120">
        <f t="shared" si="1"/>
        <v>1356201.7589166665</v>
      </c>
      <c r="M76" s="120">
        <f t="shared" si="1"/>
        <v>14356201.758916667</v>
      </c>
      <c r="N76" s="120">
        <f t="shared" si="1"/>
        <v>1356201.7589166665</v>
      </c>
      <c r="O76" s="120">
        <f t="shared" si="1"/>
        <v>1356201.7589166665</v>
      </c>
      <c r="P76" s="120">
        <f t="shared" si="1"/>
        <v>72274421.067000002</v>
      </c>
    </row>
    <row r="77" spans="1:16">
      <c r="A77" s="115"/>
      <c r="B77" s="114"/>
    </row>
    <row r="78" spans="1:16">
      <c r="A78" s="114"/>
      <c r="B78" s="11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</row>
    <row r="79" spans="1:16" s="2" customFormat="1">
      <c r="A79" s="576" t="s">
        <v>150</v>
      </c>
      <c r="B79" s="577"/>
      <c r="C79" s="578"/>
      <c r="D79" s="574" t="s">
        <v>51</v>
      </c>
      <c r="E79" s="574" t="s">
        <v>52</v>
      </c>
      <c r="F79" s="574" t="s">
        <v>53</v>
      </c>
      <c r="G79" s="574" t="s">
        <v>54</v>
      </c>
      <c r="H79" s="574" t="s">
        <v>55</v>
      </c>
      <c r="I79" s="574" t="s">
        <v>56</v>
      </c>
      <c r="J79" s="574" t="s">
        <v>57</v>
      </c>
      <c r="K79" s="574" t="s">
        <v>58</v>
      </c>
      <c r="L79" s="574" t="s">
        <v>59</v>
      </c>
      <c r="M79" s="574" t="s">
        <v>60</v>
      </c>
      <c r="N79" s="574" t="s">
        <v>61</v>
      </c>
      <c r="O79" s="574" t="s">
        <v>62</v>
      </c>
      <c r="P79" s="574" t="s">
        <v>3253</v>
      </c>
    </row>
    <row r="80" spans="1:16">
      <c r="A80" s="111" t="s">
        <v>146</v>
      </c>
      <c r="B80" s="116"/>
      <c r="C80" s="113"/>
      <c r="D80" s="117">
        <v>6539.5200000000013</v>
      </c>
      <c r="E80" s="117">
        <v>6539.5200000000013</v>
      </c>
      <c r="F80" s="117">
        <v>6539.5200000000013</v>
      </c>
      <c r="G80" s="117">
        <v>6539.5200000000013</v>
      </c>
      <c r="H80" s="117">
        <v>6539.5200000000013</v>
      </c>
      <c r="I80" s="117">
        <v>6539.5200000000013</v>
      </c>
      <c r="J80" s="117">
        <v>6539.5200000000013</v>
      </c>
      <c r="K80" s="117">
        <v>6539.5200000000013</v>
      </c>
      <c r="L80" s="117">
        <v>6539.5200000000013</v>
      </c>
      <c r="M80" s="117">
        <v>6539.5200000000013</v>
      </c>
      <c r="N80" s="117">
        <v>6539.5200000000013</v>
      </c>
      <c r="O80" s="117">
        <v>6539.5200000000013</v>
      </c>
      <c r="P80" s="120">
        <v>78474.240000000034</v>
      </c>
    </row>
    <row r="81" spans="1:17">
      <c r="A81" s="89">
        <v>5126</v>
      </c>
      <c r="B81" s="89">
        <v>26101</v>
      </c>
      <c r="C81" s="90" t="s">
        <v>118</v>
      </c>
      <c r="D81" s="93">
        <v>6539.5200000000013</v>
      </c>
      <c r="E81" s="93">
        <v>6539.5200000000013</v>
      </c>
      <c r="F81" s="93">
        <v>6539.5200000000013</v>
      </c>
      <c r="G81" s="93">
        <v>6539.5200000000013</v>
      </c>
      <c r="H81" s="93">
        <v>6539.5200000000013</v>
      </c>
      <c r="I81" s="93">
        <v>6539.5200000000013</v>
      </c>
      <c r="J81" s="93">
        <v>6539.5200000000013</v>
      </c>
      <c r="K81" s="93">
        <v>6539.5200000000013</v>
      </c>
      <c r="L81" s="93">
        <v>6539.5200000000013</v>
      </c>
      <c r="M81" s="93">
        <v>6539.5200000000013</v>
      </c>
      <c r="N81" s="93">
        <v>6539.5200000000013</v>
      </c>
      <c r="O81" s="93">
        <v>6539.5200000000013</v>
      </c>
      <c r="P81" s="93">
        <v>78474.240000000034</v>
      </c>
    </row>
    <row r="82" spans="1:17">
      <c r="A82" s="89"/>
      <c r="B82" s="89"/>
      <c r="C82" s="90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7">
      <c r="A83" s="111" t="s">
        <v>147</v>
      </c>
      <c r="B83" s="110"/>
      <c r="C83" s="94"/>
      <c r="D83" s="117">
        <v>3213704.4331666669</v>
      </c>
      <c r="E83" s="117">
        <v>313704.47316666663</v>
      </c>
      <c r="F83" s="117">
        <v>313704.47316666663</v>
      </c>
      <c r="G83" s="117">
        <v>1613704.4731666667</v>
      </c>
      <c r="H83" s="117">
        <v>313704.47316666663</v>
      </c>
      <c r="I83" s="117">
        <v>313704.47316666663</v>
      </c>
      <c r="J83" s="117">
        <v>1613704.4731666667</v>
      </c>
      <c r="K83" s="117">
        <v>313704.47316666663</v>
      </c>
      <c r="L83" s="117">
        <v>313704.47316666663</v>
      </c>
      <c r="M83" s="117">
        <v>1613704.4731666667</v>
      </c>
      <c r="N83" s="117">
        <v>313704.47316666663</v>
      </c>
      <c r="O83" s="117">
        <v>313704.47316666663</v>
      </c>
      <c r="P83" s="117">
        <v>10564453.638</v>
      </c>
    </row>
    <row r="84" spans="1:17" s="2" customFormat="1">
      <c r="A84" s="108">
        <v>5131</v>
      </c>
      <c r="B84" s="108">
        <v>31101</v>
      </c>
      <c r="C84" s="109" t="s">
        <v>11</v>
      </c>
      <c r="D84" s="93">
        <v>129043.19999999997</v>
      </c>
      <c r="E84" s="93">
        <v>129043.19999999997</v>
      </c>
      <c r="F84" s="93">
        <v>129043.19999999997</v>
      </c>
      <c r="G84" s="93">
        <v>129043.19999999997</v>
      </c>
      <c r="H84" s="93">
        <v>129043.19999999997</v>
      </c>
      <c r="I84" s="93">
        <v>129043.19999999997</v>
      </c>
      <c r="J84" s="93">
        <v>129043.19999999997</v>
      </c>
      <c r="K84" s="93">
        <v>129043.19999999997</v>
      </c>
      <c r="L84" s="93">
        <v>129043.19999999997</v>
      </c>
      <c r="M84" s="93">
        <v>129043.19999999997</v>
      </c>
      <c r="N84" s="93">
        <v>129043.19999999997</v>
      </c>
      <c r="O84" s="93">
        <v>129043.19999999997</v>
      </c>
      <c r="P84" s="93">
        <v>1548518.3999999997</v>
      </c>
    </row>
    <row r="85" spans="1:17">
      <c r="A85" s="89">
        <v>5131</v>
      </c>
      <c r="B85" s="89">
        <v>31301</v>
      </c>
      <c r="C85" s="90" t="s">
        <v>22</v>
      </c>
      <c r="D85" s="93">
        <v>1300000</v>
      </c>
      <c r="E85" s="93">
        <v>0</v>
      </c>
      <c r="F85" s="93">
        <v>0</v>
      </c>
      <c r="G85" s="93">
        <v>1300000</v>
      </c>
      <c r="H85" s="93">
        <v>0</v>
      </c>
      <c r="I85" s="93">
        <v>0</v>
      </c>
      <c r="J85" s="93">
        <v>1300000</v>
      </c>
      <c r="K85" s="93">
        <v>0</v>
      </c>
      <c r="L85" s="93">
        <v>0</v>
      </c>
      <c r="M85" s="93">
        <v>1300000</v>
      </c>
      <c r="N85" s="93">
        <v>0</v>
      </c>
      <c r="O85" s="93">
        <v>0</v>
      </c>
      <c r="P85" s="93">
        <v>5200000</v>
      </c>
    </row>
    <row r="86" spans="1:17">
      <c r="A86" s="89">
        <v>5135</v>
      </c>
      <c r="B86" s="89">
        <v>35101</v>
      </c>
      <c r="C86" s="90" t="s">
        <v>139</v>
      </c>
      <c r="D86" s="93">
        <v>184661.27316666665</v>
      </c>
      <c r="E86" s="93">
        <v>184661.27316666665</v>
      </c>
      <c r="F86" s="93">
        <v>184661.27316666665</v>
      </c>
      <c r="G86" s="93">
        <v>184661.27316666665</v>
      </c>
      <c r="H86" s="93">
        <v>184661.27316666665</v>
      </c>
      <c r="I86" s="93">
        <v>184661.27316666665</v>
      </c>
      <c r="J86" s="93">
        <v>184661.27316666665</v>
      </c>
      <c r="K86" s="93">
        <v>184661.27316666665</v>
      </c>
      <c r="L86" s="93">
        <v>184661.27316666665</v>
      </c>
      <c r="M86" s="93">
        <v>184661.27316666665</v>
      </c>
      <c r="N86" s="93">
        <v>184661.27316666665</v>
      </c>
      <c r="O86" s="93">
        <v>184661.27316666665</v>
      </c>
      <c r="P86" s="93">
        <v>2215935.2780000004</v>
      </c>
    </row>
    <row r="87" spans="1:17">
      <c r="A87" s="89">
        <v>5135</v>
      </c>
      <c r="B87" s="89">
        <v>35701</v>
      </c>
      <c r="C87" s="90" t="s">
        <v>140</v>
      </c>
      <c r="D87" s="93">
        <v>1599999.9600000002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>
        <v>1599999.9600000002</v>
      </c>
    </row>
    <row r="88" spans="1:17">
      <c r="A88" s="111" t="s">
        <v>155</v>
      </c>
      <c r="B88" s="110"/>
      <c r="C88" s="94"/>
      <c r="D88" s="120">
        <f>+D83+D80</f>
        <v>3220243.9531666669</v>
      </c>
      <c r="E88" s="120">
        <f t="shared" ref="E88:P88" si="2">+E83+E80</f>
        <v>320243.99316666665</v>
      </c>
      <c r="F88" s="120">
        <f t="shared" si="2"/>
        <v>320243.99316666665</v>
      </c>
      <c r="G88" s="120">
        <f t="shared" si="2"/>
        <v>1620243.9931666667</v>
      </c>
      <c r="H88" s="120">
        <f t="shared" si="2"/>
        <v>320243.99316666665</v>
      </c>
      <c r="I88" s="120">
        <f t="shared" si="2"/>
        <v>320243.99316666665</v>
      </c>
      <c r="J88" s="120">
        <f t="shared" si="2"/>
        <v>1620243.9931666667</v>
      </c>
      <c r="K88" s="120">
        <f t="shared" si="2"/>
        <v>320243.99316666665</v>
      </c>
      <c r="L88" s="120">
        <f t="shared" si="2"/>
        <v>320243.99316666665</v>
      </c>
      <c r="M88" s="120">
        <f t="shared" si="2"/>
        <v>1620243.9931666667</v>
      </c>
      <c r="N88" s="120">
        <f t="shared" si="2"/>
        <v>320243.99316666665</v>
      </c>
      <c r="O88" s="120">
        <f t="shared" si="2"/>
        <v>320243.99316666665</v>
      </c>
      <c r="P88" s="120">
        <f t="shared" si="2"/>
        <v>10642927.878</v>
      </c>
    </row>
    <row r="89" spans="1:17">
      <c r="A89" s="115"/>
      <c r="B89" s="114"/>
    </row>
    <row r="90" spans="1:17" s="2" customFormat="1">
      <c r="A90" s="114"/>
      <c r="B90" s="114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17">
      <c r="A91" s="576" t="s">
        <v>151</v>
      </c>
      <c r="B91" s="577"/>
      <c r="C91" s="578"/>
      <c r="D91" s="574" t="s">
        <v>51</v>
      </c>
      <c r="E91" s="574" t="s">
        <v>52</v>
      </c>
      <c r="F91" s="574" t="s">
        <v>53</v>
      </c>
      <c r="G91" s="574" t="s">
        <v>54</v>
      </c>
      <c r="H91" s="574" t="s">
        <v>55</v>
      </c>
      <c r="I91" s="574" t="s">
        <v>56</v>
      </c>
      <c r="J91" s="574" t="s">
        <v>57</v>
      </c>
      <c r="K91" s="574" t="s">
        <v>58</v>
      </c>
      <c r="L91" s="574" t="s">
        <v>59</v>
      </c>
      <c r="M91" s="574" t="s">
        <v>60</v>
      </c>
      <c r="N91" s="574" t="s">
        <v>61</v>
      </c>
      <c r="O91" s="574" t="s">
        <v>62</v>
      </c>
      <c r="P91" s="574" t="s">
        <v>3253</v>
      </c>
    </row>
    <row r="92" spans="1:17">
      <c r="A92" s="111" t="s">
        <v>146</v>
      </c>
      <c r="B92" s="116"/>
      <c r="C92" s="113"/>
      <c r="D92" s="117">
        <v>8520.5120000000006</v>
      </c>
      <c r="E92" s="117">
        <v>8520.5120000000006</v>
      </c>
      <c r="F92" s="117">
        <v>8520.5120000000006</v>
      </c>
      <c r="G92" s="117">
        <v>8520.5120000000006</v>
      </c>
      <c r="H92" s="117">
        <v>8520.5120000000006</v>
      </c>
      <c r="I92" s="117">
        <v>8520.5120000000006</v>
      </c>
      <c r="J92" s="117">
        <v>8520.5120000000006</v>
      </c>
      <c r="K92" s="117">
        <v>8520.5120000000006</v>
      </c>
      <c r="L92" s="117">
        <v>8520.5120000000006</v>
      </c>
      <c r="M92" s="117">
        <v>8520.5120000000006</v>
      </c>
      <c r="N92" s="117">
        <v>8520.5120000000006</v>
      </c>
      <c r="O92" s="117">
        <v>8520.5120000000006</v>
      </c>
      <c r="P92" s="120">
        <v>102246.14400000001</v>
      </c>
    </row>
    <row r="93" spans="1:17">
      <c r="A93" s="89">
        <v>5126</v>
      </c>
      <c r="B93" s="89">
        <v>26101</v>
      </c>
      <c r="C93" s="90" t="s">
        <v>118</v>
      </c>
      <c r="D93" s="93">
        <v>8520.5120000000006</v>
      </c>
      <c r="E93" s="93">
        <v>8520.5120000000006</v>
      </c>
      <c r="F93" s="93">
        <v>8520.5120000000006</v>
      </c>
      <c r="G93" s="93">
        <v>8520.5120000000006</v>
      </c>
      <c r="H93" s="93">
        <v>8520.5120000000006</v>
      </c>
      <c r="I93" s="93">
        <v>8520.5120000000006</v>
      </c>
      <c r="J93" s="93">
        <v>8520.5120000000006</v>
      </c>
      <c r="K93" s="93">
        <v>8520.5120000000006</v>
      </c>
      <c r="L93" s="93">
        <v>8520.5120000000006</v>
      </c>
      <c r="M93" s="93">
        <v>8520.5120000000006</v>
      </c>
      <c r="N93" s="93">
        <v>8520.5120000000006</v>
      </c>
      <c r="O93" s="93">
        <v>8520.5120000000006</v>
      </c>
      <c r="P93" s="93">
        <v>102246.14400000001</v>
      </c>
    </row>
    <row r="94" spans="1:17">
      <c r="A94" s="89"/>
      <c r="B94" s="89"/>
      <c r="C94" s="90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7">
      <c r="A95" s="111" t="s">
        <v>147</v>
      </c>
      <c r="B95" s="110"/>
      <c r="C95" s="94"/>
      <c r="D95" s="117">
        <v>2270163.851166667</v>
      </c>
      <c r="E95" s="117">
        <v>270163.89116666664</v>
      </c>
      <c r="F95" s="117">
        <v>270163.89116666664</v>
      </c>
      <c r="G95" s="117">
        <v>670163.89116666664</v>
      </c>
      <c r="H95" s="117">
        <v>270163.89116666664</v>
      </c>
      <c r="I95" s="117">
        <v>270163.89116666664</v>
      </c>
      <c r="J95" s="117">
        <v>670163.89116666664</v>
      </c>
      <c r="K95" s="117">
        <v>270163.89116666664</v>
      </c>
      <c r="L95" s="117">
        <v>270163.89116666664</v>
      </c>
      <c r="M95" s="117">
        <v>670163.89116666664</v>
      </c>
      <c r="N95" s="117">
        <v>270163.89116666664</v>
      </c>
      <c r="O95" s="117">
        <v>270163.89116666664</v>
      </c>
      <c r="P95" s="117">
        <v>6441966.6540000001</v>
      </c>
      <c r="Q95" s="9"/>
    </row>
    <row r="96" spans="1:17">
      <c r="A96" s="108">
        <v>5131</v>
      </c>
      <c r="B96" s="108">
        <v>31101</v>
      </c>
      <c r="C96" s="109" t="s">
        <v>11</v>
      </c>
      <c r="D96" s="93">
        <v>81000</v>
      </c>
      <c r="E96" s="93">
        <v>81000</v>
      </c>
      <c r="F96" s="93">
        <v>81000</v>
      </c>
      <c r="G96" s="93">
        <v>81000</v>
      </c>
      <c r="H96" s="93">
        <v>81000</v>
      </c>
      <c r="I96" s="93">
        <v>81000</v>
      </c>
      <c r="J96" s="93">
        <v>81000</v>
      </c>
      <c r="K96" s="93">
        <v>81000</v>
      </c>
      <c r="L96" s="93">
        <v>81000</v>
      </c>
      <c r="M96" s="93">
        <v>81000</v>
      </c>
      <c r="N96" s="93">
        <v>81000</v>
      </c>
      <c r="O96" s="93">
        <v>81000</v>
      </c>
      <c r="P96" s="93">
        <v>972000</v>
      </c>
    </row>
    <row r="97" spans="1:16">
      <c r="A97" s="89">
        <v>5131</v>
      </c>
      <c r="B97" s="89">
        <v>31301</v>
      </c>
      <c r="C97" s="90" t="s">
        <v>22</v>
      </c>
      <c r="D97" s="93">
        <v>400000</v>
      </c>
      <c r="E97" s="93">
        <v>0</v>
      </c>
      <c r="F97" s="93">
        <v>0</v>
      </c>
      <c r="G97" s="93">
        <v>400000</v>
      </c>
      <c r="H97" s="93">
        <v>0</v>
      </c>
      <c r="I97" s="93">
        <v>0</v>
      </c>
      <c r="J97" s="93">
        <v>400000</v>
      </c>
      <c r="K97" s="93">
        <v>0</v>
      </c>
      <c r="L97" s="93">
        <v>0</v>
      </c>
      <c r="M97" s="93">
        <v>400000</v>
      </c>
      <c r="N97" s="93">
        <v>0</v>
      </c>
      <c r="O97" s="93">
        <v>0</v>
      </c>
      <c r="P97" s="93">
        <v>1600000</v>
      </c>
    </row>
    <row r="98" spans="1:16">
      <c r="A98" s="89">
        <v>5133</v>
      </c>
      <c r="B98" s="89">
        <v>33801</v>
      </c>
      <c r="C98" s="90" t="s">
        <v>138</v>
      </c>
      <c r="D98" s="93">
        <v>105000</v>
      </c>
      <c r="E98" s="93">
        <v>105000</v>
      </c>
      <c r="F98" s="93">
        <v>105000</v>
      </c>
      <c r="G98" s="93">
        <v>105000</v>
      </c>
      <c r="H98" s="93">
        <v>105000</v>
      </c>
      <c r="I98" s="93">
        <v>105000</v>
      </c>
      <c r="J98" s="93">
        <v>105000</v>
      </c>
      <c r="K98" s="93">
        <v>105000</v>
      </c>
      <c r="L98" s="93">
        <v>105000</v>
      </c>
      <c r="M98" s="93">
        <v>105000</v>
      </c>
      <c r="N98" s="93">
        <v>105000</v>
      </c>
      <c r="O98" s="93">
        <v>105000</v>
      </c>
      <c r="P98" s="93">
        <v>1260000</v>
      </c>
    </row>
    <row r="99" spans="1:16">
      <c r="A99" s="89">
        <v>5135</v>
      </c>
      <c r="B99" s="89">
        <v>35101</v>
      </c>
      <c r="C99" s="90" t="s">
        <v>139</v>
      </c>
      <c r="D99" s="93">
        <v>84163.891166666668</v>
      </c>
      <c r="E99" s="93">
        <v>84163.891166666668</v>
      </c>
      <c r="F99" s="93">
        <v>84163.891166666668</v>
      </c>
      <c r="G99" s="93">
        <v>84163.891166666668</v>
      </c>
      <c r="H99" s="93">
        <v>84163.891166666668</v>
      </c>
      <c r="I99" s="93">
        <v>84163.891166666668</v>
      </c>
      <c r="J99" s="93">
        <v>84163.891166666668</v>
      </c>
      <c r="K99" s="93">
        <v>84163.891166666668</v>
      </c>
      <c r="L99" s="93">
        <v>84163.891166666668</v>
      </c>
      <c r="M99" s="93">
        <v>84163.891166666668</v>
      </c>
      <c r="N99" s="93">
        <v>84163.891166666668</v>
      </c>
      <c r="O99" s="93">
        <v>84163.891166666668</v>
      </c>
      <c r="P99" s="93">
        <v>1009966.6939999998</v>
      </c>
    </row>
    <row r="100" spans="1:16">
      <c r="A100" s="89">
        <v>5135</v>
      </c>
      <c r="B100" s="89">
        <v>35701</v>
      </c>
      <c r="C100" s="90" t="s">
        <v>140</v>
      </c>
      <c r="D100" s="93">
        <v>1599999.9600000002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>
        <v>1599999.9600000002</v>
      </c>
    </row>
    <row r="101" spans="1:16" s="2" customFormat="1">
      <c r="A101" s="111" t="s">
        <v>156</v>
      </c>
      <c r="B101" s="110"/>
      <c r="C101" s="94"/>
      <c r="D101" s="117">
        <f>+D95+D92</f>
        <v>2278684.3631666671</v>
      </c>
      <c r="E101" s="117">
        <f t="shared" ref="E101:P101" si="3">+E95+E92</f>
        <v>278684.40316666663</v>
      </c>
      <c r="F101" s="117">
        <f t="shared" si="3"/>
        <v>278684.40316666663</v>
      </c>
      <c r="G101" s="117">
        <f t="shared" si="3"/>
        <v>678684.40316666663</v>
      </c>
      <c r="H101" s="117">
        <f t="shared" si="3"/>
        <v>278684.40316666663</v>
      </c>
      <c r="I101" s="117">
        <f t="shared" si="3"/>
        <v>278684.40316666663</v>
      </c>
      <c r="J101" s="117">
        <f t="shared" si="3"/>
        <v>678684.40316666663</v>
      </c>
      <c r="K101" s="117">
        <f t="shared" si="3"/>
        <v>278684.40316666663</v>
      </c>
      <c r="L101" s="117">
        <f t="shared" si="3"/>
        <v>278684.40316666663</v>
      </c>
      <c r="M101" s="117">
        <f t="shared" si="3"/>
        <v>678684.40316666663</v>
      </c>
      <c r="N101" s="117">
        <f t="shared" si="3"/>
        <v>278684.40316666663</v>
      </c>
      <c r="O101" s="117">
        <f t="shared" si="3"/>
        <v>278684.40316666663</v>
      </c>
      <c r="P101" s="117">
        <f t="shared" si="3"/>
        <v>6544212.7980000004</v>
      </c>
    </row>
    <row r="102" spans="1:16">
      <c r="A102" s="114"/>
      <c r="B102" s="114"/>
    </row>
    <row r="103" spans="1:16">
      <c r="A103" s="114"/>
      <c r="B103" s="114"/>
    </row>
    <row r="104" spans="1:16">
      <c r="A104" s="576" t="s">
        <v>100</v>
      </c>
      <c r="B104" s="577"/>
      <c r="C104" s="578"/>
      <c r="D104" s="574" t="s">
        <v>51</v>
      </c>
      <c r="E104" s="574" t="s">
        <v>52</v>
      </c>
      <c r="F104" s="574" t="s">
        <v>53</v>
      </c>
      <c r="G104" s="574" t="s">
        <v>54</v>
      </c>
      <c r="H104" s="574" t="s">
        <v>55</v>
      </c>
      <c r="I104" s="574" t="s">
        <v>56</v>
      </c>
      <c r="J104" s="574" t="s">
        <v>57</v>
      </c>
      <c r="K104" s="574" t="s">
        <v>58</v>
      </c>
      <c r="L104" s="574" t="s">
        <v>59</v>
      </c>
      <c r="M104" s="574" t="s">
        <v>60</v>
      </c>
      <c r="N104" s="574" t="s">
        <v>61</v>
      </c>
      <c r="O104" s="574" t="s">
        <v>62</v>
      </c>
      <c r="P104" s="574" t="s">
        <v>3253</v>
      </c>
    </row>
    <row r="105" spans="1:16">
      <c r="A105" s="111" t="s">
        <v>147</v>
      </c>
      <c r="B105" s="110"/>
      <c r="C105" s="94"/>
      <c r="D105" s="117">
        <v>25000</v>
      </c>
      <c r="E105" s="117">
        <v>25000</v>
      </c>
      <c r="F105" s="117">
        <v>25000</v>
      </c>
      <c r="G105" s="117">
        <v>25000</v>
      </c>
      <c r="H105" s="117">
        <v>25000</v>
      </c>
      <c r="I105" s="117">
        <v>25000</v>
      </c>
      <c r="J105" s="117">
        <v>25000</v>
      </c>
      <c r="K105" s="117">
        <v>25000</v>
      </c>
      <c r="L105" s="117">
        <v>25000</v>
      </c>
      <c r="M105" s="117">
        <v>25000</v>
      </c>
      <c r="N105" s="117">
        <v>25000</v>
      </c>
      <c r="O105" s="117">
        <v>25000</v>
      </c>
      <c r="P105" s="117">
        <v>300000</v>
      </c>
    </row>
    <row r="106" spans="1:16">
      <c r="A106" s="108">
        <v>5135</v>
      </c>
      <c r="B106" s="108">
        <v>35101</v>
      </c>
      <c r="C106" s="109" t="s">
        <v>139</v>
      </c>
      <c r="D106" s="93">
        <v>25000</v>
      </c>
      <c r="E106" s="93">
        <v>25000</v>
      </c>
      <c r="F106" s="93">
        <v>25000</v>
      </c>
      <c r="G106" s="93">
        <v>25000</v>
      </c>
      <c r="H106" s="93">
        <v>25000</v>
      </c>
      <c r="I106" s="93">
        <v>25000</v>
      </c>
      <c r="J106" s="93">
        <v>25000</v>
      </c>
      <c r="K106" s="93">
        <v>25000</v>
      </c>
      <c r="L106" s="93">
        <v>25000</v>
      </c>
      <c r="M106" s="93">
        <v>25000</v>
      </c>
      <c r="N106" s="93">
        <v>25000</v>
      </c>
      <c r="O106" s="93">
        <v>25000</v>
      </c>
      <c r="P106" s="93">
        <v>300000</v>
      </c>
    </row>
    <row r="107" spans="1:16">
      <c r="A107" s="111" t="s">
        <v>157</v>
      </c>
      <c r="B107" s="110"/>
      <c r="C107" s="94"/>
      <c r="D107" s="120">
        <f>+D105</f>
        <v>25000</v>
      </c>
      <c r="E107" s="120">
        <f t="shared" ref="E107:P107" si="4">+E105</f>
        <v>25000</v>
      </c>
      <c r="F107" s="120">
        <f t="shared" si="4"/>
        <v>25000</v>
      </c>
      <c r="G107" s="120">
        <f t="shared" si="4"/>
        <v>25000</v>
      </c>
      <c r="H107" s="120">
        <f t="shared" si="4"/>
        <v>25000</v>
      </c>
      <c r="I107" s="120">
        <f t="shared" si="4"/>
        <v>25000</v>
      </c>
      <c r="J107" s="120">
        <f t="shared" si="4"/>
        <v>25000</v>
      </c>
      <c r="K107" s="120">
        <f t="shared" si="4"/>
        <v>25000</v>
      </c>
      <c r="L107" s="120">
        <f t="shared" si="4"/>
        <v>25000</v>
      </c>
      <c r="M107" s="120">
        <f t="shared" si="4"/>
        <v>25000</v>
      </c>
      <c r="N107" s="120">
        <f t="shared" si="4"/>
        <v>25000</v>
      </c>
      <c r="O107" s="120">
        <f t="shared" si="4"/>
        <v>25000</v>
      </c>
      <c r="P107" s="120">
        <f t="shared" si="4"/>
        <v>300000</v>
      </c>
    </row>
    <row r="108" spans="1:16">
      <c r="A108" s="114"/>
      <c r="B108" s="114"/>
    </row>
    <row r="109" spans="1:16">
      <c r="A109" s="579" t="s">
        <v>152</v>
      </c>
      <c r="B109" s="580"/>
      <c r="C109" s="581"/>
      <c r="D109" s="574" t="s">
        <v>51</v>
      </c>
      <c r="E109" s="574" t="s">
        <v>52</v>
      </c>
      <c r="F109" s="574" t="s">
        <v>53</v>
      </c>
      <c r="G109" s="574" t="s">
        <v>54</v>
      </c>
      <c r="H109" s="574" t="s">
        <v>55</v>
      </c>
      <c r="I109" s="574" t="s">
        <v>56</v>
      </c>
      <c r="J109" s="574" t="s">
        <v>57</v>
      </c>
      <c r="K109" s="574" t="s">
        <v>58</v>
      </c>
      <c r="L109" s="574" t="s">
        <v>59</v>
      </c>
      <c r="M109" s="574" t="s">
        <v>60</v>
      </c>
      <c r="N109" s="574" t="s">
        <v>61</v>
      </c>
      <c r="O109" s="574" t="s">
        <v>62</v>
      </c>
      <c r="P109" s="574" t="s">
        <v>3253</v>
      </c>
    </row>
    <row r="110" spans="1:16">
      <c r="A110" s="111" t="s">
        <v>146</v>
      </c>
      <c r="B110" s="116"/>
      <c r="C110" s="113"/>
      <c r="D110" s="117">
        <v>4754.8799999999992</v>
      </c>
      <c r="E110" s="117">
        <v>4754.8799999999992</v>
      </c>
      <c r="F110" s="117">
        <v>4754.8799999999992</v>
      </c>
      <c r="G110" s="117">
        <v>4754.8799999999992</v>
      </c>
      <c r="H110" s="117">
        <v>4754.8799999999992</v>
      </c>
      <c r="I110" s="117">
        <v>4754.8799999999992</v>
      </c>
      <c r="J110" s="117">
        <v>4754.8799999999992</v>
      </c>
      <c r="K110" s="117">
        <v>4754.8799999999992</v>
      </c>
      <c r="L110" s="117">
        <v>4754.8799999999992</v>
      </c>
      <c r="M110" s="117">
        <v>4754.8799999999992</v>
      </c>
      <c r="N110" s="117">
        <v>4754.8799999999992</v>
      </c>
      <c r="O110" s="117">
        <v>4754.8799999999992</v>
      </c>
      <c r="P110" s="120">
        <v>57058.559999999976</v>
      </c>
    </row>
    <row r="111" spans="1:16">
      <c r="A111" s="89">
        <v>5126</v>
      </c>
      <c r="B111" s="89">
        <v>26101</v>
      </c>
      <c r="C111" s="90" t="s">
        <v>118</v>
      </c>
      <c r="D111" s="93">
        <v>4754.8799999999992</v>
      </c>
      <c r="E111" s="93">
        <v>4754.8799999999992</v>
      </c>
      <c r="F111" s="93">
        <v>4754.8799999999992</v>
      </c>
      <c r="G111" s="93">
        <v>4754.8799999999992</v>
      </c>
      <c r="H111" s="93">
        <v>4754.8799999999992</v>
      </c>
      <c r="I111" s="93">
        <v>4754.8799999999992</v>
      </c>
      <c r="J111" s="93">
        <v>4754.8799999999992</v>
      </c>
      <c r="K111" s="93">
        <v>4754.8799999999992</v>
      </c>
      <c r="L111" s="93">
        <v>4754.8799999999992</v>
      </c>
      <c r="M111" s="93">
        <v>4754.8799999999992</v>
      </c>
      <c r="N111" s="93">
        <v>4754.8799999999992</v>
      </c>
      <c r="O111" s="93">
        <v>4754.8799999999992</v>
      </c>
      <c r="P111" s="93">
        <v>57058.559999999976</v>
      </c>
    </row>
    <row r="112" spans="1:16">
      <c r="A112" s="89"/>
      <c r="B112" s="89"/>
      <c r="C112" s="90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1:16">
      <c r="A113" s="111" t="s">
        <v>147</v>
      </c>
      <c r="B113" s="110"/>
      <c r="C113" s="94"/>
      <c r="D113" s="117">
        <v>1214579.7985833334</v>
      </c>
      <c r="E113" s="117">
        <v>114579.75858333334</v>
      </c>
      <c r="F113" s="117">
        <v>114579.75858333334</v>
      </c>
      <c r="G113" s="117">
        <v>414579.75858333334</v>
      </c>
      <c r="H113" s="117">
        <v>114579.75858333334</v>
      </c>
      <c r="I113" s="117">
        <v>114579.75858333334</v>
      </c>
      <c r="J113" s="117">
        <v>414579.75858333334</v>
      </c>
      <c r="K113" s="117">
        <v>114579.75858333334</v>
      </c>
      <c r="L113" s="117">
        <v>114579.75858333334</v>
      </c>
      <c r="M113" s="117">
        <v>414579.75858333334</v>
      </c>
      <c r="N113" s="117">
        <v>114579.75858333334</v>
      </c>
      <c r="O113" s="117">
        <v>114579.75858333334</v>
      </c>
      <c r="P113" s="117">
        <v>3374957.1430000002</v>
      </c>
    </row>
    <row r="114" spans="1:16">
      <c r="A114" s="108">
        <v>5131</v>
      </c>
      <c r="B114" s="108">
        <v>31101</v>
      </c>
      <c r="C114" s="109" t="s">
        <v>11</v>
      </c>
      <c r="D114" s="93">
        <v>14700</v>
      </c>
      <c r="E114" s="93">
        <v>14700</v>
      </c>
      <c r="F114" s="93">
        <v>14700</v>
      </c>
      <c r="G114" s="93">
        <v>14700</v>
      </c>
      <c r="H114" s="93">
        <v>14700</v>
      </c>
      <c r="I114" s="93">
        <v>14700</v>
      </c>
      <c r="J114" s="93">
        <v>14700</v>
      </c>
      <c r="K114" s="93">
        <v>14700</v>
      </c>
      <c r="L114" s="93">
        <v>14700</v>
      </c>
      <c r="M114" s="93">
        <v>14700</v>
      </c>
      <c r="N114" s="93">
        <v>14700</v>
      </c>
      <c r="O114" s="93">
        <v>14700</v>
      </c>
      <c r="P114" s="93">
        <v>176400</v>
      </c>
    </row>
    <row r="115" spans="1:16">
      <c r="A115" s="89">
        <v>5131</v>
      </c>
      <c r="B115" s="89">
        <v>31301</v>
      </c>
      <c r="C115" s="90" t="s">
        <v>22</v>
      </c>
      <c r="D115" s="93">
        <v>300000</v>
      </c>
      <c r="E115" s="93">
        <v>0</v>
      </c>
      <c r="F115" s="93">
        <v>0</v>
      </c>
      <c r="G115" s="93">
        <v>300000</v>
      </c>
      <c r="H115" s="93">
        <v>0</v>
      </c>
      <c r="I115" s="93">
        <v>0</v>
      </c>
      <c r="J115" s="93">
        <v>300000</v>
      </c>
      <c r="K115" s="93">
        <v>0</v>
      </c>
      <c r="L115" s="93">
        <v>0</v>
      </c>
      <c r="M115" s="93">
        <v>300000</v>
      </c>
      <c r="N115" s="93">
        <v>0</v>
      </c>
      <c r="O115" s="93">
        <v>0</v>
      </c>
      <c r="P115" s="93">
        <v>1200000</v>
      </c>
    </row>
    <row r="116" spans="1:16">
      <c r="A116" s="89">
        <v>5135</v>
      </c>
      <c r="B116" s="89">
        <v>35101</v>
      </c>
      <c r="C116" s="90" t="s">
        <v>139</v>
      </c>
      <c r="D116" s="93">
        <v>99879.758583333343</v>
      </c>
      <c r="E116" s="93">
        <v>99879.758583333343</v>
      </c>
      <c r="F116" s="93">
        <v>99879.758583333343</v>
      </c>
      <c r="G116" s="93">
        <v>99879.758583333343</v>
      </c>
      <c r="H116" s="93">
        <v>99879.758583333343</v>
      </c>
      <c r="I116" s="93">
        <v>99879.758583333343</v>
      </c>
      <c r="J116" s="93">
        <v>99879.758583333343</v>
      </c>
      <c r="K116" s="93">
        <v>99879.758583333343</v>
      </c>
      <c r="L116" s="93">
        <v>99879.758583333343</v>
      </c>
      <c r="M116" s="93">
        <v>99879.758583333343</v>
      </c>
      <c r="N116" s="93">
        <v>99879.758583333343</v>
      </c>
      <c r="O116" s="93">
        <v>99879.758583333343</v>
      </c>
      <c r="P116" s="93">
        <v>1198557.1030000001</v>
      </c>
    </row>
    <row r="117" spans="1:16">
      <c r="A117" s="106">
        <v>5135</v>
      </c>
      <c r="B117" s="106">
        <v>35701</v>
      </c>
      <c r="C117" s="107" t="s">
        <v>140</v>
      </c>
      <c r="D117" s="42">
        <v>800000.04000000015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93">
        <v>800000.04000000015</v>
      </c>
    </row>
    <row r="118" spans="1:16">
      <c r="A118" s="111" t="s">
        <v>158</v>
      </c>
      <c r="B118" s="110"/>
      <c r="C118" s="94"/>
      <c r="D118" s="120">
        <f>+D113+D110</f>
        <v>1219334.6785833333</v>
      </c>
      <c r="E118" s="120">
        <f t="shared" ref="E118:P118" si="5">+E113+E110</f>
        <v>119334.63858333335</v>
      </c>
      <c r="F118" s="120">
        <f t="shared" si="5"/>
        <v>119334.63858333335</v>
      </c>
      <c r="G118" s="120">
        <f t="shared" si="5"/>
        <v>419334.63858333335</v>
      </c>
      <c r="H118" s="120">
        <f t="shared" si="5"/>
        <v>119334.63858333335</v>
      </c>
      <c r="I118" s="120">
        <f t="shared" si="5"/>
        <v>119334.63858333335</v>
      </c>
      <c r="J118" s="120">
        <f t="shared" si="5"/>
        <v>419334.63858333335</v>
      </c>
      <c r="K118" s="120">
        <f t="shared" si="5"/>
        <v>119334.63858333335</v>
      </c>
      <c r="L118" s="120">
        <f t="shared" si="5"/>
        <v>119334.63858333335</v>
      </c>
      <c r="M118" s="120">
        <f t="shared" si="5"/>
        <v>419334.63858333335</v>
      </c>
      <c r="N118" s="120">
        <f t="shared" si="5"/>
        <v>119334.63858333335</v>
      </c>
      <c r="O118" s="120">
        <f t="shared" si="5"/>
        <v>119334.63858333335</v>
      </c>
      <c r="P118" s="120">
        <f t="shared" si="5"/>
        <v>3432015.7030000002</v>
      </c>
    </row>
    <row r="119" spans="1:16">
      <c r="A119" s="115"/>
      <c r="B119" s="114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576" t="s">
        <v>159</v>
      </c>
      <c r="B120" s="577"/>
      <c r="C120" s="578"/>
      <c r="D120" s="574" t="s">
        <v>51</v>
      </c>
      <c r="E120" s="574" t="s">
        <v>52</v>
      </c>
      <c r="F120" s="574" t="s">
        <v>53</v>
      </c>
      <c r="G120" s="574" t="s">
        <v>54</v>
      </c>
      <c r="H120" s="574" t="s">
        <v>55</v>
      </c>
      <c r="I120" s="574" t="s">
        <v>56</v>
      </c>
      <c r="J120" s="574" t="s">
        <v>57</v>
      </c>
      <c r="K120" s="574" t="s">
        <v>58</v>
      </c>
      <c r="L120" s="574" t="s">
        <v>59</v>
      </c>
      <c r="M120" s="574" t="s">
        <v>60</v>
      </c>
      <c r="N120" s="574" t="s">
        <v>61</v>
      </c>
      <c r="O120" s="574" t="s">
        <v>62</v>
      </c>
      <c r="P120" s="574" t="s">
        <v>3253</v>
      </c>
    </row>
    <row r="121" spans="1:16">
      <c r="A121" s="111" t="s">
        <v>146</v>
      </c>
      <c r="B121" s="116"/>
      <c r="C121" s="113"/>
      <c r="D121" s="117">
        <v>4655.04</v>
      </c>
      <c r="E121" s="117">
        <v>4655.04</v>
      </c>
      <c r="F121" s="117">
        <v>4655.04</v>
      </c>
      <c r="G121" s="117">
        <v>4655.04</v>
      </c>
      <c r="H121" s="117">
        <v>4655.04</v>
      </c>
      <c r="I121" s="117">
        <v>4655.04</v>
      </c>
      <c r="J121" s="117">
        <v>4655.04</v>
      </c>
      <c r="K121" s="117">
        <v>4655.04</v>
      </c>
      <c r="L121" s="117">
        <v>4655.04</v>
      </c>
      <c r="M121" s="117">
        <v>4655.04</v>
      </c>
      <c r="N121" s="117">
        <v>4655.04</v>
      </c>
      <c r="O121" s="117">
        <v>4655.04</v>
      </c>
      <c r="P121" s="120">
        <v>55860.480000000003</v>
      </c>
    </row>
    <row r="122" spans="1:16">
      <c r="A122" s="89">
        <v>5126</v>
      </c>
      <c r="B122" s="89">
        <v>26101</v>
      </c>
      <c r="C122" s="90" t="s">
        <v>118</v>
      </c>
      <c r="D122" s="93">
        <v>4655.04</v>
      </c>
      <c r="E122" s="93">
        <v>4655.04</v>
      </c>
      <c r="F122" s="93">
        <v>4655.04</v>
      </c>
      <c r="G122" s="93">
        <v>4655.04</v>
      </c>
      <c r="H122" s="93">
        <v>4655.04</v>
      </c>
      <c r="I122" s="93">
        <v>4655.04</v>
      </c>
      <c r="J122" s="93">
        <v>4655.04</v>
      </c>
      <c r="K122" s="93">
        <v>4655.04</v>
      </c>
      <c r="L122" s="93">
        <v>4655.04</v>
      </c>
      <c r="M122" s="93">
        <v>4655.04</v>
      </c>
      <c r="N122" s="93">
        <v>4655.04</v>
      </c>
      <c r="O122" s="93">
        <v>4655.04</v>
      </c>
      <c r="P122" s="93">
        <v>55860.480000000003</v>
      </c>
    </row>
    <row r="123" spans="1:16">
      <c r="A123" s="89"/>
      <c r="B123" s="89"/>
      <c r="C123" s="90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1:16">
      <c r="A124" s="111" t="s">
        <v>147</v>
      </c>
      <c r="B124" s="116"/>
      <c r="C124" s="113"/>
      <c r="D124" s="117">
        <v>195020.27523333332</v>
      </c>
      <c r="E124" s="117">
        <v>195020.27523333332</v>
      </c>
      <c r="F124" s="117">
        <v>195020.27523333332</v>
      </c>
      <c r="G124" s="117">
        <v>195020.27523333332</v>
      </c>
      <c r="H124" s="117">
        <v>195020.27523333332</v>
      </c>
      <c r="I124" s="117">
        <v>195020.27523333332</v>
      </c>
      <c r="J124" s="117">
        <v>195020.27523333332</v>
      </c>
      <c r="K124" s="117">
        <v>195020.27523333332</v>
      </c>
      <c r="L124" s="117">
        <v>195020.27523333332</v>
      </c>
      <c r="M124" s="117">
        <v>195020.27523333332</v>
      </c>
      <c r="N124" s="117">
        <v>195020.27523333332</v>
      </c>
      <c r="O124" s="117">
        <v>195020.27523333332</v>
      </c>
      <c r="P124" s="117">
        <v>2340243.3028000002</v>
      </c>
    </row>
    <row r="125" spans="1:16">
      <c r="A125" s="89">
        <v>5131</v>
      </c>
      <c r="B125" s="89">
        <v>31101</v>
      </c>
      <c r="C125" s="90" t="s">
        <v>11</v>
      </c>
      <c r="D125" s="93">
        <v>47659.6224</v>
      </c>
      <c r="E125" s="93">
        <v>47659.6224</v>
      </c>
      <c r="F125" s="93">
        <v>47659.6224</v>
      </c>
      <c r="G125" s="93">
        <v>47659.6224</v>
      </c>
      <c r="H125" s="93">
        <v>47659.6224</v>
      </c>
      <c r="I125" s="93">
        <v>47659.6224</v>
      </c>
      <c r="J125" s="93">
        <v>47659.6224</v>
      </c>
      <c r="K125" s="93">
        <v>47659.6224</v>
      </c>
      <c r="L125" s="93">
        <v>47659.6224</v>
      </c>
      <c r="M125" s="93">
        <v>47659.6224</v>
      </c>
      <c r="N125" s="93">
        <v>47659.6224</v>
      </c>
      <c r="O125" s="93">
        <v>47659.6224</v>
      </c>
      <c r="P125" s="93">
        <v>571915.46880000003</v>
      </c>
    </row>
    <row r="126" spans="1:16">
      <c r="A126" s="89">
        <v>5133</v>
      </c>
      <c r="B126" s="89">
        <v>33801</v>
      </c>
      <c r="C126" s="90" t="s">
        <v>138</v>
      </c>
      <c r="D126" s="93">
        <v>85000</v>
      </c>
      <c r="E126" s="93">
        <v>85000</v>
      </c>
      <c r="F126" s="93">
        <v>85000</v>
      </c>
      <c r="G126" s="93">
        <v>85000</v>
      </c>
      <c r="H126" s="93">
        <v>85000</v>
      </c>
      <c r="I126" s="93">
        <v>85000</v>
      </c>
      <c r="J126" s="93">
        <v>85000</v>
      </c>
      <c r="K126" s="93">
        <v>85000</v>
      </c>
      <c r="L126" s="93">
        <v>85000</v>
      </c>
      <c r="M126" s="93">
        <v>85000</v>
      </c>
      <c r="N126" s="93">
        <v>85000</v>
      </c>
      <c r="O126" s="93">
        <v>85000</v>
      </c>
      <c r="P126" s="93">
        <v>1020000</v>
      </c>
    </row>
    <row r="127" spans="1:16">
      <c r="A127" s="89">
        <v>5135</v>
      </c>
      <c r="B127" s="89">
        <v>35101</v>
      </c>
      <c r="C127" s="90" t="s">
        <v>139</v>
      </c>
      <c r="D127" s="93">
        <v>62360.652833333334</v>
      </c>
      <c r="E127" s="93">
        <v>62360.652833333334</v>
      </c>
      <c r="F127" s="93">
        <v>62360.652833333334</v>
      </c>
      <c r="G127" s="93">
        <v>62360.652833333334</v>
      </c>
      <c r="H127" s="93">
        <v>62360.652833333334</v>
      </c>
      <c r="I127" s="93">
        <v>62360.652833333334</v>
      </c>
      <c r="J127" s="93">
        <v>62360.652833333334</v>
      </c>
      <c r="K127" s="93">
        <v>62360.652833333334</v>
      </c>
      <c r="L127" s="93">
        <v>62360.652833333334</v>
      </c>
      <c r="M127" s="93">
        <v>62360.652833333334</v>
      </c>
      <c r="N127" s="93">
        <v>62360.652833333334</v>
      </c>
      <c r="O127" s="93">
        <v>62360.652833333334</v>
      </c>
      <c r="P127" s="93">
        <v>748327.83400000015</v>
      </c>
    </row>
    <row r="128" spans="1:16">
      <c r="A128" s="111" t="s">
        <v>215</v>
      </c>
      <c r="B128" s="110"/>
      <c r="C128" s="94"/>
      <c r="D128" s="117">
        <f>+D121+D124</f>
        <v>199675.31523333333</v>
      </c>
      <c r="E128" s="117">
        <f t="shared" ref="E128:P128" si="6">+E121+E124</f>
        <v>199675.31523333333</v>
      </c>
      <c r="F128" s="117">
        <f t="shared" si="6"/>
        <v>199675.31523333333</v>
      </c>
      <c r="G128" s="117">
        <f t="shared" si="6"/>
        <v>199675.31523333333</v>
      </c>
      <c r="H128" s="117">
        <f t="shared" si="6"/>
        <v>199675.31523333333</v>
      </c>
      <c r="I128" s="117">
        <f t="shared" si="6"/>
        <v>199675.31523333333</v>
      </c>
      <c r="J128" s="117">
        <f t="shared" si="6"/>
        <v>199675.31523333333</v>
      </c>
      <c r="K128" s="117">
        <f t="shared" si="6"/>
        <v>199675.31523333333</v>
      </c>
      <c r="L128" s="117">
        <f t="shared" si="6"/>
        <v>199675.31523333333</v>
      </c>
      <c r="M128" s="117">
        <f t="shared" si="6"/>
        <v>199675.31523333333</v>
      </c>
      <c r="N128" s="117">
        <f t="shared" si="6"/>
        <v>199675.31523333333</v>
      </c>
      <c r="O128" s="117">
        <f t="shared" si="6"/>
        <v>199675.31523333333</v>
      </c>
      <c r="P128" s="117">
        <f t="shared" si="6"/>
        <v>2396103.7828000002</v>
      </c>
    </row>
    <row r="129" spans="1:16">
      <c r="A129" s="115"/>
      <c r="B129" s="11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</row>
    <row r="130" spans="1:16">
      <c r="A130" s="111" t="s">
        <v>8</v>
      </c>
      <c r="B130" s="110"/>
      <c r="C130" s="94"/>
      <c r="D130" s="117">
        <f>+D128+D118+D107+D101+D88+D76</f>
        <v>25299140.029066671</v>
      </c>
      <c r="E130" s="117">
        <f t="shared" ref="E130:P130" si="7">+E128+E118+E107+E101+E88+E76</f>
        <v>2299140.1090666666</v>
      </c>
      <c r="F130" s="117">
        <f t="shared" si="7"/>
        <v>2299140.1090666666</v>
      </c>
      <c r="G130" s="117">
        <f t="shared" si="7"/>
        <v>17299140.109066665</v>
      </c>
      <c r="H130" s="117">
        <f t="shared" si="7"/>
        <v>2299140.1090666666</v>
      </c>
      <c r="I130" s="117">
        <f t="shared" si="7"/>
        <v>2299140.1090666666</v>
      </c>
      <c r="J130" s="117">
        <f t="shared" si="7"/>
        <v>17299140.109066665</v>
      </c>
      <c r="K130" s="117">
        <f t="shared" si="7"/>
        <v>2299140.1090666666</v>
      </c>
      <c r="L130" s="117">
        <f t="shared" si="7"/>
        <v>2299140.1090666666</v>
      </c>
      <c r="M130" s="117">
        <f t="shared" si="7"/>
        <v>17299140.109066665</v>
      </c>
      <c r="N130" s="117">
        <f t="shared" si="7"/>
        <v>2299140.1090666666</v>
      </c>
      <c r="O130" s="117">
        <f t="shared" si="7"/>
        <v>2299140.1090666666</v>
      </c>
      <c r="P130" s="117">
        <f t="shared" si="7"/>
        <v>95589681.228799999</v>
      </c>
    </row>
    <row r="131" spans="1:16">
      <c r="A131" s="726"/>
      <c r="B131" s="89"/>
      <c r="C131" s="90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</row>
    <row r="132" spans="1:16" ht="15">
      <c r="A132" s="582" t="s">
        <v>102</v>
      </c>
      <c r="B132" s="582"/>
      <c r="C132" s="582"/>
      <c r="D132" s="583">
        <f t="shared" ref="D132:P132" si="8">+D130+D58</f>
        <v>33771006.547041416</v>
      </c>
      <c r="E132" s="583">
        <f t="shared" si="8"/>
        <v>4983267.9870414156</v>
      </c>
      <c r="F132" s="583">
        <f t="shared" si="8"/>
        <v>4557277.9870414156</v>
      </c>
      <c r="G132" s="583">
        <f t="shared" si="8"/>
        <v>22632319.667041413</v>
      </c>
      <c r="H132" s="583">
        <f t="shared" si="8"/>
        <v>5117905.9870414156</v>
      </c>
      <c r="I132" s="583">
        <f t="shared" si="8"/>
        <v>4644867.6620414164</v>
      </c>
      <c r="J132" s="583">
        <f t="shared" si="8"/>
        <v>22632319.667041413</v>
      </c>
      <c r="K132" s="583">
        <f t="shared" si="8"/>
        <v>4555305.9870414156</v>
      </c>
      <c r="L132" s="583">
        <f t="shared" si="8"/>
        <v>4555305.9870414156</v>
      </c>
      <c r="M132" s="583">
        <f t="shared" si="8"/>
        <v>19787885.987041414</v>
      </c>
      <c r="N132" s="583">
        <f t="shared" si="8"/>
        <v>4558321.9870414156</v>
      </c>
      <c r="O132" s="583">
        <f t="shared" si="8"/>
        <v>6464497.9640414156</v>
      </c>
      <c r="P132" s="583">
        <f t="shared" si="8"/>
        <v>138260283.41649699</v>
      </c>
    </row>
    <row r="133" spans="1:16">
      <c r="A133" s="91"/>
      <c r="B133" s="91"/>
      <c r="C133" s="91"/>
    </row>
    <row r="134" spans="1:16">
      <c r="A134" s="91"/>
      <c r="B134" s="91"/>
      <c r="C134" s="91"/>
    </row>
    <row r="135" spans="1:16">
      <c r="A135" s="563" t="s">
        <v>1851</v>
      </c>
      <c r="B135" s="587"/>
      <c r="C135" s="149"/>
      <c r="D135" s="131">
        <v>3762500</v>
      </c>
      <c r="E135" s="131">
        <v>3762500</v>
      </c>
      <c r="F135" s="131">
        <v>3762500</v>
      </c>
      <c r="G135" s="131">
        <v>3762500</v>
      </c>
      <c r="H135" s="131">
        <v>3762500</v>
      </c>
      <c r="I135" s="131">
        <v>3762500</v>
      </c>
      <c r="J135" s="131">
        <v>3762500</v>
      </c>
      <c r="K135" s="131">
        <v>3762500</v>
      </c>
      <c r="L135" s="131">
        <v>3762500</v>
      </c>
      <c r="M135" s="131">
        <v>3762500</v>
      </c>
      <c r="N135" s="131">
        <v>3762500</v>
      </c>
      <c r="O135" s="131">
        <v>3762500</v>
      </c>
      <c r="P135" s="131">
        <v>45150000</v>
      </c>
    </row>
    <row r="136" spans="1:16">
      <c r="A136" s="89" t="s">
        <v>1852</v>
      </c>
      <c r="B136" s="588"/>
      <c r="C136" s="90" t="s">
        <v>27</v>
      </c>
      <c r="D136" s="93">
        <v>375000</v>
      </c>
      <c r="E136" s="93">
        <v>375000</v>
      </c>
      <c r="F136" s="93">
        <v>375000</v>
      </c>
      <c r="G136" s="93">
        <v>375000</v>
      </c>
      <c r="H136" s="93">
        <v>375000</v>
      </c>
      <c r="I136" s="93">
        <v>375000</v>
      </c>
      <c r="J136" s="93">
        <v>375000</v>
      </c>
      <c r="K136" s="93">
        <v>375000</v>
      </c>
      <c r="L136" s="93">
        <v>375000</v>
      </c>
      <c r="M136" s="93">
        <v>375000</v>
      </c>
      <c r="N136" s="93">
        <v>375000</v>
      </c>
      <c r="O136" s="93">
        <v>375000</v>
      </c>
      <c r="P136" s="93">
        <v>4500000</v>
      </c>
    </row>
    <row r="137" spans="1:16">
      <c r="A137" s="89">
        <v>5594</v>
      </c>
      <c r="B137" s="89">
        <v>10001</v>
      </c>
      <c r="C137" s="90" t="s">
        <v>1853</v>
      </c>
      <c r="D137" s="93">
        <v>25000</v>
      </c>
      <c r="E137" s="93">
        <v>25000</v>
      </c>
      <c r="F137" s="93">
        <v>25000</v>
      </c>
      <c r="G137" s="93">
        <v>25000</v>
      </c>
      <c r="H137" s="93">
        <v>25000</v>
      </c>
      <c r="I137" s="93">
        <v>25000</v>
      </c>
      <c r="J137" s="93">
        <v>25000</v>
      </c>
      <c r="K137" s="93">
        <v>25000</v>
      </c>
      <c r="L137" s="93">
        <v>25000</v>
      </c>
      <c r="M137" s="93">
        <v>25000</v>
      </c>
      <c r="N137" s="93">
        <v>25000</v>
      </c>
      <c r="O137" s="93">
        <v>25000</v>
      </c>
      <c r="P137" s="93">
        <v>300000</v>
      </c>
    </row>
    <row r="138" spans="1:16">
      <c r="A138" s="89">
        <v>5599</v>
      </c>
      <c r="B138" s="89">
        <v>10001</v>
      </c>
      <c r="C138" s="90" t="s">
        <v>3251</v>
      </c>
      <c r="D138" s="93">
        <v>20833.333333333332</v>
      </c>
      <c r="E138" s="93">
        <v>20833.333333333332</v>
      </c>
      <c r="F138" s="93">
        <v>20833.333333333332</v>
      </c>
      <c r="G138" s="93">
        <v>20833.333333333332</v>
      </c>
      <c r="H138" s="93">
        <v>20833.333333333332</v>
      </c>
      <c r="I138" s="93">
        <v>20833.333333333332</v>
      </c>
      <c r="J138" s="93">
        <v>20833.333333333332</v>
      </c>
      <c r="K138" s="93">
        <v>20833.333333333332</v>
      </c>
      <c r="L138" s="93">
        <v>20833.333333333332</v>
      </c>
      <c r="M138" s="93">
        <v>20833.333333333332</v>
      </c>
      <c r="N138" s="93">
        <v>20833.333333333332</v>
      </c>
      <c r="O138" s="93">
        <v>20833.333333333332</v>
      </c>
      <c r="P138" s="93">
        <v>250000.00000000003</v>
      </c>
    </row>
    <row r="139" spans="1:16">
      <c r="A139" s="89">
        <v>5599</v>
      </c>
      <c r="B139" s="89">
        <v>10002</v>
      </c>
      <c r="C139" s="90" t="s">
        <v>3252</v>
      </c>
      <c r="D139" s="93">
        <v>8333.3333333333339</v>
      </c>
      <c r="E139" s="93">
        <v>8333.3333333333339</v>
      </c>
      <c r="F139" s="93">
        <v>8333.3333333333339</v>
      </c>
      <c r="G139" s="93">
        <v>8333.3333333333339</v>
      </c>
      <c r="H139" s="93">
        <v>8333.3333333333339</v>
      </c>
      <c r="I139" s="93">
        <v>8333.3333333333339</v>
      </c>
      <c r="J139" s="93">
        <v>8333.3333333333339</v>
      </c>
      <c r="K139" s="93">
        <v>8333.3333333333339</v>
      </c>
      <c r="L139" s="93">
        <v>8333.3333333333339</v>
      </c>
      <c r="M139" s="93">
        <v>8333.3333333333339</v>
      </c>
      <c r="N139" s="93">
        <v>8333.3333333333339</v>
      </c>
      <c r="O139" s="93">
        <v>8333.3333333333339</v>
      </c>
      <c r="P139" s="93">
        <v>99999.999999999985</v>
      </c>
    </row>
    <row r="140" spans="1:16">
      <c r="A140" s="89" t="s">
        <v>3148</v>
      </c>
      <c r="B140" s="89"/>
      <c r="C140" s="90" t="s">
        <v>3149</v>
      </c>
      <c r="D140" s="93">
        <v>3333333.3333333335</v>
      </c>
      <c r="E140" s="93">
        <v>3333333.3333333335</v>
      </c>
      <c r="F140" s="93">
        <v>3333333.3333333335</v>
      </c>
      <c r="G140" s="93">
        <v>3333333.3333333335</v>
      </c>
      <c r="H140" s="93">
        <v>3333333.3333333335</v>
      </c>
      <c r="I140" s="93">
        <v>3333333.3333333335</v>
      </c>
      <c r="J140" s="93">
        <v>3333333.3333333335</v>
      </c>
      <c r="K140" s="93">
        <v>3333333.3333333335</v>
      </c>
      <c r="L140" s="93">
        <v>3333333.3333333335</v>
      </c>
      <c r="M140" s="93">
        <v>3333333.3333333335</v>
      </c>
      <c r="N140" s="93">
        <v>3333333.3333333335</v>
      </c>
      <c r="O140" s="93">
        <v>3333333.3333333335</v>
      </c>
      <c r="P140" s="93">
        <v>40000000</v>
      </c>
    </row>
    <row r="141" spans="1:16">
      <c r="A141" s="563" t="s">
        <v>1854</v>
      </c>
      <c r="B141" s="110"/>
      <c r="C141" s="94"/>
      <c r="D141" s="150">
        <f>+D135</f>
        <v>3762500</v>
      </c>
      <c r="E141" s="150">
        <f t="shared" ref="E141:P141" si="9">+E135</f>
        <v>3762500</v>
      </c>
      <c r="F141" s="150">
        <f t="shared" si="9"/>
        <v>3762500</v>
      </c>
      <c r="G141" s="150">
        <f t="shared" si="9"/>
        <v>3762500</v>
      </c>
      <c r="H141" s="150">
        <f t="shared" si="9"/>
        <v>3762500</v>
      </c>
      <c r="I141" s="150">
        <f t="shared" si="9"/>
        <v>3762500</v>
      </c>
      <c r="J141" s="150">
        <f t="shared" si="9"/>
        <v>3762500</v>
      </c>
      <c r="K141" s="150">
        <f t="shared" si="9"/>
        <v>3762500</v>
      </c>
      <c r="L141" s="150">
        <f t="shared" si="9"/>
        <v>3762500</v>
      </c>
      <c r="M141" s="150">
        <f t="shared" si="9"/>
        <v>3762500</v>
      </c>
      <c r="N141" s="150">
        <f t="shared" si="9"/>
        <v>3762500</v>
      </c>
      <c r="O141" s="150">
        <f t="shared" si="9"/>
        <v>3762500</v>
      </c>
      <c r="P141" s="150">
        <f t="shared" si="9"/>
        <v>45150000</v>
      </c>
    </row>
    <row r="142" spans="1:16">
      <c r="A142" s="657"/>
      <c r="B142" s="114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</row>
    <row r="143" spans="1:16" ht="15">
      <c r="A143" s="657"/>
      <c r="B143" s="114"/>
      <c r="C143" s="1316" t="s">
        <v>5627</v>
      </c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</row>
    <row r="144" spans="1:16" ht="15">
      <c r="A144" s="657"/>
      <c r="B144" s="114"/>
      <c r="C144" s="112" t="s">
        <v>3254</v>
      </c>
      <c r="D144" s="1317">
        <v>241500</v>
      </c>
      <c r="E144" s="1317">
        <v>7741500</v>
      </c>
      <c r="F144" s="1317">
        <v>112000</v>
      </c>
      <c r="G144" s="1317">
        <v>0</v>
      </c>
      <c r="H144" s="1317">
        <v>0</v>
      </c>
      <c r="I144" s="1317">
        <v>0</v>
      </c>
      <c r="J144" s="1317">
        <v>0</v>
      </c>
      <c r="K144" s="1317">
        <v>0</v>
      </c>
      <c r="L144" s="1317">
        <v>0</v>
      </c>
      <c r="M144" s="1317">
        <v>0</v>
      </c>
      <c r="N144" s="1317">
        <v>0</v>
      </c>
      <c r="O144" s="1317">
        <v>0</v>
      </c>
      <c r="P144" s="1317">
        <v>8095000</v>
      </c>
    </row>
    <row r="145" spans="1:16">
      <c r="A145" s="657"/>
      <c r="B145" s="114"/>
      <c r="C145" s="517" t="s">
        <v>3255</v>
      </c>
      <c r="D145" s="774"/>
      <c r="E145" s="774"/>
      <c r="F145" s="774">
        <v>112000</v>
      </c>
      <c r="G145" s="774"/>
      <c r="H145" s="774"/>
      <c r="I145" s="774"/>
      <c r="J145" s="774"/>
      <c r="K145" s="774"/>
      <c r="L145" s="774"/>
      <c r="M145" s="774"/>
      <c r="N145" s="774"/>
      <c r="O145" s="774"/>
      <c r="P145" s="1318">
        <v>112000</v>
      </c>
    </row>
    <row r="146" spans="1:16">
      <c r="A146" s="657"/>
      <c r="B146" s="114"/>
      <c r="C146" s="517" t="s">
        <v>2986</v>
      </c>
      <c r="D146" s="774">
        <v>241500</v>
      </c>
      <c r="E146" s="774">
        <v>241500</v>
      </c>
      <c r="F146" s="774"/>
      <c r="G146" s="774"/>
      <c r="H146" s="774"/>
      <c r="I146" s="774"/>
      <c r="J146" s="774"/>
      <c r="K146" s="774"/>
      <c r="L146" s="774"/>
      <c r="M146" s="774"/>
      <c r="N146" s="774"/>
      <c r="O146" s="774"/>
      <c r="P146" s="1318">
        <v>483000</v>
      </c>
    </row>
    <row r="147" spans="1:16">
      <c r="A147" s="657"/>
      <c r="B147" s="114"/>
      <c r="C147" s="90" t="s">
        <v>3256</v>
      </c>
      <c r="D147" s="774"/>
      <c r="E147" s="774">
        <v>7500000</v>
      </c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1318">
        <v>7500000</v>
      </c>
    </row>
    <row r="148" spans="1:16">
      <c r="A148" s="657"/>
      <c r="B148" s="114"/>
      <c r="C148" s="112" t="s">
        <v>142</v>
      </c>
      <c r="D148" s="1319"/>
      <c r="E148" s="1319"/>
      <c r="F148" s="1319"/>
      <c r="G148" s="1319"/>
      <c r="H148" s="1319"/>
      <c r="I148" s="1319"/>
      <c r="J148" s="1319"/>
      <c r="K148" s="1319"/>
      <c r="L148" s="1319"/>
      <c r="M148" s="1319"/>
      <c r="N148" s="1319"/>
      <c r="O148" s="1319"/>
      <c r="P148" s="131"/>
    </row>
    <row r="149" spans="1:16" ht="15">
      <c r="A149" s="657"/>
      <c r="B149" s="114"/>
      <c r="C149" s="112" t="s">
        <v>149</v>
      </c>
      <c r="D149" s="1320">
        <v>2570000</v>
      </c>
      <c r="E149" s="1320">
        <v>1841000</v>
      </c>
      <c r="F149" s="1320">
        <v>2315000</v>
      </c>
      <c r="G149" s="1320">
        <v>1900000</v>
      </c>
      <c r="H149" s="1320">
        <v>2000000</v>
      </c>
      <c r="I149" s="1320">
        <v>2500000</v>
      </c>
      <c r="J149" s="1320">
        <v>800000</v>
      </c>
      <c r="K149" s="1320">
        <v>250000</v>
      </c>
      <c r="L149" s="1320">
        <v>0</v>
      </c>
      <c r="M149" s="1320">
        <v>0</v>
      </c>
      <c r="N149" s="1320">
        <v>0</v>
      </c>
      <c r="O149" s="1320">
        <v>0</v>
      </c>
      <c r="P149" s="1320">
        <v>14176000</v>
      </c>
    </row>
    <row r="150" spans="1:16">
      <c r="A150" s="657"/>
      <c r="B150" s="114"/>
      <c r="C150" s="126" t="s">
        <v>3257</v>
      </c>
      <c r="D150" s="774">
        <v>0</v>
      </c>
      <c r="E150" s="774">
        <v>0</v>
      </c>
      <c r="F150" s="774">
        <v>890000</v>
      </c>
      <c r="G150" s="774">
        <v>600000</v>
      </c>
      <c r="H150" s="774">
        <v>800000</v>
      </c>
      <c r="I150" s="774">
        <v>1200000</v>
      </c>
      <c r="J150" s="774">
        <v>300000</v>
      </c>
      <c r="K150" s="774">
        <v>200000</v>
      </c>
      <c r="L150" s="774">
        <v>0</v>
      </c>
      <c r="M150" s="774">
        <v>0</v>
      </c>
      <c r="N150" s="774">
        <v>0</v>
      </c>
      <c r="O150" s="774">
        <v>0</v>
      </c>
      <c r="P150" s="1318">
        <v>3990000</v>
      </c>
    </row>
    <row r="151" spans="1:16">
      <c r="A151" s="657"/>
      <c r="B151" s="114"/>
      <c r="C151" s="90" t="s">
        <v>3258</v>
      </c>
      <c r="D151" s="774">
        <v>350000</v>
      </c>
      <c r="E151" s="774"/>
      <c r="F151" s="774"/>
      <c r="G151" s="774"/>
      <c r="H151" s="774"/>
      <c r="I151" s="774"/>
      <c r="J151" s="774"/>
      <c r="K151" s="774"/>
      <c r="L151" s="774"/>
      <c r="M151" s="774"/>
      <c r="N151" s="774"/>
      <c r="O151" s="774"/>
      <c r="P151" s="1318">
        <v>350000</v>
      </c>
    </row>
    <row r="152" spans="1:16">
      <c r="A152" s="657"/>
      <c r="B152" s="114"/>
      <c r="C152" s="90" t="s">
        <v>3259</v>
      </c>
      <c r="D152" s="774">
        <v>300000</v>
      </c>
      <c r="E152" s="774">
        <v>220000</v>
      </c>
      <c r="F152" s="774">
        <v>100000</v>
      </c>
      <c r="G152" s="774">
        <v>100000</v>
      </c>
      <c r="H152" s="774">
        <v>0</v>
      </c>
      <c r="I152" s="774">
        <v>100000</v>
      </c>
      <c r="J152" s="774">
        <v>50000</v>
      </c>
      <c r="K152" s="774">
        <v>0</v>
      </c>
      <c r="L152" s="774">
        <v>0</v>
      </c>
      <c r="M152" s="774">
        <v>0</v>
      </c>
      <c r="N152" s="774">
        <v>0</v>
      </c>
      <c r="O152" s="774">
        <v>0</v>
      </c>
      <c r="P152" s="1318">
        <v>870000</v>
      </c>
    </row>
    <row r="153" spans="1:16">
      <c r="A153" s="657"/>
      <c r="B153" s="114"/>
      <c r="C153" s="778" t="s">
        <v>3991</v>
      </c>
      <c r="D153" s="774">
        <v>1600000</v>
      </c>
      <c r="E153" s="774">
        <v>1200000</v>
      </c>
      <c r="F153" s="774">
        <v>1325000</v>
      </c>
      <c r="G153" s="774">
        <v>1200000</v>
      </c>
      <c r="H153" s="774">
        <v>1200000</v>
      </c>
      <c r="I153" s="774">
        <v>1200000</v>
      </c>
      <c r="J153" s="774">
        <v>450000</v>
      </c>
      <c r="K153" s="774">
        <v>50000</v>
      </c>
      <c r="L153" s="774">
        <v>0</v>
      </c>
      <c r="M153" s="774">
        <v>0</v>
      </c>
      <c r="N153" s="774">
        <v>0</v>
      </c>
      <c r="O153" s="774">
        <v>0</v>
      </c>
      <c r="P153" s="1318">
        <v>8225000</v>
      </c>
    </row>
    <row r="154" spans="1:16">
      <c r="A154" s="657"/>
      <c r="B154" s="114"/>
      <c r="C154" s="778" t="s">
        <v>3992</v>
      </c>
      <c r="D154" s="774"/>
      <c r="E154" s="774">
        <v>300000</v>
      </c>
      <c r="F154" s="774"/>
      <c r="G154" s="774"/>
      <c r="H154" s="774"/>
      <c r="I154" s="774"/>
      <c r="J154" s="774"/>
      <c r="K154" s="774"/>
      <c r="L154" s="774"/>
      <c r="M154" s="774"/>
      <c r="N154" s="774"/>
      <c r="O154" s="774"/>
      <c r="P154" s="1318">
        <v>300000</v>
      </c>
    </row>
    <row r="155" spans="1:16">
      <c r="A155" s="657"/>
      <c r="B155" s="114"/>
      <c r="C155" s="778" t="s">
        <v>3993</v>
      </c>
      <c r="D155" s="774">
        <v>320000</v>
      </c>
      <c r="E155" s="774">
        <v>121000</v>
      </c>
      <c r="F155" s="774">
        <v>0</v>
      </c>
      <c r="G155" s="774">
        <v>0</v>
      </c>
      <c r="H155" s="774">
        <v>0</v>
      </c>
      <c r="I155" s="774">
        <v>0</v>
      </c>
      <c r="J155" s="774">
        <v>0</v>
      </c>
      <c r="K155" s="774">
        <v>0</v>
      </c>
      <c r="L155" s="774">
        <v>0</v>
      </c>
      <c r="M155" s="774">
        <v>0</v>
      </c>
      <c r="N155" s="774">
        <v>0</v>
      </c>
      <c r="O155" s="774">
        <v>0</v>
      </c>
      <c r="P155" s="1318">
        <v>441000</v>
      </c>
    </row>
    <row r="156" spans="1:16" ht="15">
      <c r="A156" s="657"/>
      <c r="B156" s="114"/>
      <c r="C156" s="112" t="s">
        <v>159</v>
      </c>
      <c r="D156" s="1321">
        <v>23020000</v>
      </c>
      <c r="E156" s="1321">
        <v>23030000</v>
      </c>
      <c r="F156" s="1321">
        <v>550000</v>
      </c>
      <c r="G156" s="1321">
        <v>150000</v>
      </c>
      <c r="H156" s="1321">
        <v>100000</v>
      </c>
      <c r="I156" s="1321">
        <v>150000</v>
      </c>
      <c r="J156" s="1321">
        <v>0</v>
      </c>
      <c r="K156" s="1321">
        <v>0</v>
      </c>
      <c r="L156" s="1321">
        <v>0</v>
      </c>
      <c r="M156" s="1321">
        <v>0</v>
      </c>
      <c r="N156" s="1321">
        <v>0</v>
      </c>
      <c r="O156" s="1321">
        <v>0</v>
      </c>
      <c r="P156" s="1321">
        <v>47000000</v>
      </c>
    </row>
    <row r="157" spans="1:16">
      <c r="A157" s="657"/>
      <c r="B157" s="114"/>
      <c r="C157" s="90" t="s">
        <v>3260</v>
      </c>
      <c r="D157" s="774">
        <v>22000000</v>
      </c>
      <c r="E157" s="774">
        <v>22000000</v>
      </c>
      <c r="F157" s="774"/>
      <c r="G157" s="774"/>
      <c r="H157" s="774"/>
      <c r="I157" s="774"/>
      <c r="J157" s="774"/>
      <c r="K157" s="774"/>
      <c r="L157" s="774"/>
      <c r="M157" s="774"/>
      <c r="N157" s="774"/>
      <c r="O157" s="774"/>
      <c r="P157" s="1318">
        <v>44000000</v>
      </c>
    </row>
    <row r="158" spans="1:16">
      <c r="A158" s="657"/>
      <c r="B158" s="114"/>
      <c r="C158" s="778" t="s">
        <v>3994</v>
      </c>
      <c r="D158" s="1322">
        <v>350000</v>
      </c>
      <c r="E158" s="1322">
        <v>350000</v>
      </c>
      <c r="F158" s="1322">
        <v>100000</v>
      </c>
      <c r="G158" s="1322">
        <v>0</v>
      </c>
      <c r="H158" s="1322">
        <v>0</v>
      </c>
      <c r="I158" s="1322">
        <v>0</v>
      </c>
      <c r="J158" s="1322">
        <v>0</v>
      </c>
      <c r="K158" s="1322">
        <v>0</v>
      </c>
      <c r="L158" s="1322">
        <v>0</v>
      </c>
      <c r="M158" s="1322">
        <v>0</v>
      </c>
      <c r="N158" s="1322">
        <v>0</v>
      </c>
      <c r="O158" s="1322">
        <v>0</v>
      </c>
      <c r="P158" s="1318">
        <v>800000</v>
      </c>
    </row>
    <row r="159" spans="1:16">
      <c r="A159" s="657"/>
      <c r="B159" s="114"/>
      <c r="C159" s="778" t="s">
        <v>3995</v>
      </c>
      <c r="D159" s="774"/>
      <c r="E159" s="774">
        <v>150000</v>
      </c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1318">
        <v>150000</v>
      </c>
    </row>
    <row r="160" spans="1:16">
      <c r="A160" s="657"/>
      <c r="B160" s="114"/>
      <c r="C160" s="778" t="s">
        <v>3996</v>
      </c>
      <c r="D160" s="1322">
        <v>670000</v>
      </c>
      <c r="E160" s="1322">
        <v>530000</v>
      </c>
      <c r="F160" s="1322">
        <v>450000</v>
      </c>
      <c r="G160" s="1322">
        <v>150000</v>
      </c>
      <c r="H160" s="1322">
        <v>100000</v>
      </c>
      <c r="I160" s="1322">
        <v>150000</v>
      </c>
      <c r="J160" s="1322">
        <v>0</v>
      </c>
      <c r="K160" s="1322">
        <v>0</v>
      </c>
      <c r="L160" s="1322">
        <v>0</v>
      </c>
      <c r="M160" s="1322">
        <v>0</v>
      </c>
      <c r="N160" s="1322">
        <v>0</v>
      </c>
      <c r="O160" s="1322">
        <v>0</v>
      </c>
      <c r="P160" s="1318">
        <v>2050000</v>
      </c>
    </row>
    <row r="161" spans="1:16" ht="15">
      <c r="A161" s="657"/>
      <c r="B161" s="114"/>
      <c r="C161" s="112" t="s">
        <v>3261</v>
      </c>
      <c r="D161" s="1320">
        <v>600000</v>
      </c>
      <c r="E161" s="1320">
        <v>250000</v>
      </c>
      <c r="F161" s="1320">
        <v>800000</v>
      </c>
      <c r="G161" s="1320">
        <v>200000</v>
      </c>
      <c r="H161" s="1320">
        <v>460000</v>
      </c>
      <c r="I161" s="1320">
        <v>350000</v>
      </c>
      <c r="J161" s="1320">
        <v>200000</v>
      </c>
      <c r="K161" s="1320">
        <v>200000</v>
      </c>
      <c r="L161" s="1320">
        <v>0</v>
      </c>
      <c r="M161" s="1320">
        <v>0</v>
      </c>
      <c r="N161" s="1320">
        <v>0</v>
      </c>
      <c r="O161" s="1320">
        <v>0</v>
      </c>
      <c r="P161" s="1320">
        <v>3060000</v>
      </c>
    </row>
    <row r="162" spans="1:16">
      <c r="A162" s="657"/>
      <c r="B162" s="114"/>
      <c r="C162" s="90" t="s">
        <v>3262</v>
      </c>
      <c r="D162" s="774">
        <v>350000</v>
      </c>
      <c r="E162" s="774"/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1318">
        <v>350000</v>
      </c>
    </row>
    <row r="163" spans="1:16">
      <c r="A163" s="657"/>
      <c r="B163" s="114"/>
      <c r="C163" s="778" t="s">
        <v>3997</v>
      </c>
      <c r="D163" s="774">
        <v>250000</v>
      </c>
      <c r="E163" s="774">
        <v>250000</v>
      </c>
      <c r="F163" s="774">
        <v>0</v>
      </c>
      <c r="G163" s="774">
        <v>0</v>
      </c>
      <c r="H163" s="774">
        <v>0</v>
      </c>
      <c r="I163" s="774">
        <v>0</v>
      </c>
      <c r="J163" s="774">
        <v>0</v>
      </c>
      <c r="K163" s="774">
        <v>0</v>
      </c>
      <c r="L163" s="774">
        <v>0</v>
      </c>
      <c r="M163" s="774">
        <v>0</v>
      </c>
      <c r="N163" s="774">
        <v>0</v>
      </c>
      <c r="O163" s="774">
        <v>0</v>
      </c>
      <c r="P163" s="1318">
        <v>500000</v>
      </c>
    </row>
    <row r="164" spans="1:16">
      <c r="A164" s="657"/>
      <c r="B164" s="114"/>
      <c r="C164" s="90" t="s">
        <v>5624</v>
      </c>
      <c r="D164" s="774">
        <v>0</v>
      </c>
      <c r="E164" s="774">
        <v>0</v>
      </c>
      <c r="F164" s="774">
        <v>800000</v>
      </c>
      <c r="G164" s="774">
        <v>200000</v>
      </c>
      <c r="H164" s="774">
        <v>460000</v>
      </c>
      <c r="I164" s="774">
        <v>350000</v>
      </c>
      <c r="J164" s="774">
        <v>200000</v>
      </c>
      <c r="K164" s="774">
        <v>200000</v>
      </c>
      <c r="L164" s="774">
        <v>0</v>
      </c>
      <c r="M164" s="774">
        <v>0</v>
      </c>
      <c r="N164" s="774">
        <v>0</v>
      </c>
      <c r="O164" s="774">
        <v>0</v>
      </c>
      <c r="P164" s="1318">
        <v>2210000</v>
      </c>
    </row>
    <row r="165" spans="1:16" ht="15">
      <c r="A165" s="657"/>
      <c r="B165" s="114"/>
      <c r="C165" s="112" t="s">
        <v>151</v>
      </c>
      <c r="D165" s="1320">
        <v>2950000</v>
      </c>
      <c r="E165" s="1320">
        <v>3450000</v>
      </c>
      <c r="F165" s="1320">
        <v>2590000</v>
      </c>
      <c r="G165" s="1320">
        <v>900000</v>
      </c>
      <c r="H165" s="1320">
        <v>700000</v>
      </c>
      <c r="I165" s="1320">
        <v>800000</v>
      </c>
      <c r="J165" s="1320">
        <v>700000</v>
      </c>
      <c r="K165" s="1320">
        <v>100000</v>
      </c>
      <c r="L165" s="1320">
        <v>0</v>
      </c>
      <c r="M165" s="1320">
        <v>0</v>
      </c>
      <c r="N165" s="1320">
        <v>0</v>
      </c>
      <c r="O165" s="1320">
        <v>0</v>
      </c>
      <c r="P165" s="1320">
        <v>12190000</v>
      </c>
    </row>
    <row r="166" spans="1:16">
      <c r="A166" s="657"/>
      <c r="B166" s="114"/>
      <c r="C166" s="90" t="s">
        <v>3263</v>
      </c>
      <c r="D166" s="779">
        <v>350000</v>
      </c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1318">
        <v>350000</v>
      </c>
    </row>
    <row r="167" spans="1:16">
      <c r="A167" s="657"/>
      <c r="B167" s="114"/>
      <c r="C167" s="778" t="s">
        <v>3999</v>
      </c>
      <c r="D167" s="779">
        <v>0</v>
      </c>
      <c r="E167" s="779">
        <v>150000</v>
      </c>
      <c r="F167" s="779">
        <v>200000</v>
      </c>
      <c r="G167" s="779">
        <v>0</v>
      </c>
      <c r="H167" s="779">
        <v>0</v>
      </c>
      <c r="I167" s="779">
        <v>0</v>
      </c>
      <c r="J167" s="779">
        <v>0</v>
      </c>
      <c r="K167" s="779">
        <v>0</v>
      </c>
      <c r="L167" s="779">
        <v>0</v>
      </c>
      <c r="M167" s="779">
        <v>0</v>
      </c>
      <c r="N167" s="779">
        <v>0</v>
      </c>
      <c r="O167" s="779">
        <v>0</v>
      </c>
      <c r="P167" s="1318">
        <v>350000</v>
      </c>
    </row>
    <row r="168" spans="1:16">
      <c r="A168" s="657"/>
      <c r="B168" s="114"/>
      <c r="C168" s="778" t="s">
        <v>4000</v>
      </c>
      <c r="D168" s="779">
        <v>100000</v>
      </c>
      <c r="E168" s="779">
        <v>200000</v>
      </c>
      <c r="F168" s="779">
        <v>100000</v>
      </c>
      <c r="G168" s="779">
        <v>100000</v>
      </c>
      <c r="H168" s="779">
        <v>100000</v>
      </c>
      <c r="I168" s="779">
        <v>200000</v>
      </c>
      <c r="J168" s="779">
        <v>0</v>
      </c>
      <c r="K168" s="779">
        <v>50000</v>
      </c>
      <c r="L168" s="779">
        <v>0</v>
      </c>
      <c r="M168" s="779">
        <v>0</v>
      </c>
      <c r="N168" s="779">
        <v>0</v>
      </c>
      <c r="O168" s="779">
        <v>0</v>
      </c>
      <c r="P168" s="1318">
        <v>850000</v>
      </c>
    </row>
    <row r="169" spans="1:16">
      <c r="A169" s="657"/>
      <c r="B169" s="114"/>
      <c r="C169" s="778" t="s">
        <v>4001</v>
      </c>
      <c r="D169" s="779">
        <v>2500000</v>
      </c>
      <c r="E169" s="779">
        <v>1600000</v>
      </c>
      <c r="F169" s="779">
        <v>890000</v>
      </c>
      <c r="G169" s="779">
        <v>200000</v>
      </c>
      <c r="H169" s="779">
        <v>100000</v>
      </c>
      <c r="I169" s="779">
        <v>0</v>
      </c>
      <c r="J169" s="779">
        <v>0</v>
      </c>
      <c r="K169" s="779">
        <v>50000</v>
      </c>
      <c r="L169" s="779">
        <v>0</v>
      </c>
      <c r="M169" s="779">
        <v>0</v>
      </c>
      <c r="N169" s="779">
        <v>0</v>
      </c>
      <c r="O169" s="779">
        <v>0</v>
      </c>
      <c r="P169" s="1318">
        <v>5340000</v>
      </c>
    </row>
    <row r="170" spans="1:16">
      <c r="A170" s="657"/>
      <c r="B170" s="114"/>
      <c r="C170" s="90" t="s">
        <v>5625</v>
      </c>
      <c r="D170" s="779">
        <v>0</v>
      </c>
      <c r="E170" s="779">
        <v>1500000</v>
      </c>
      <c r="F170" s="779">
        <v>1400000</v>
      </c>
      <c r="G170" s="779">
        <v>600000</v>
      </c>
      <c r="H170" s="779">
        <v>500000</v>
      </c>
      <c r="I170" s="779">
        <v>600000</v>
      </c>
      <c r="J170" s="779">
        <v>700000</v>
      </c>
      <c r="K170" s="779">
        <v>0</v>
      </c>
      <c r="L170" s="779">
        <v>0</v>
      </c>
      <c r="M170" s="779">
        <v>0</v>
      </c>
      <c r="N170" s="779">
        <v>0</v>
      </c>
      <c r="O170" s="779">
        <v>0</v>
      </c>
      <c r="P170" s="1318">
        <v>5300000</v>
      </c>
    </row>
    <row r="171" spans="1:16" ht="15">
      <c r="A171" s="657"/>
      <c r="B171" s="114"/>
      <c r="C171" s="112" t="s">
        <v>447</v>
      </c>
      <c r="D171" s="1320">
        <v>650000</v>
      </c>
      <c r="E171" s="1320">
        <v>800000</v>
      </c>
      <c r="F171" s="1320">
        <v>1400000</v>
      </c>
      <c r="G171" s="1320">
        <v>1700000</v>
      </c>
      <c r="H171" s="1320">
        <v>100000</v>
      </c>
      <c r="I171" s="1320">
        <v>0</v>
      </c>
      <c r="J171" s="1320">
        <v>50000</v>
      </c>
      <c r="K171" s="1320">
        <v>0</v>
      </c>
      <c r="L171" s="1320">
        <v>0</v>
      </c>
      <c r="M171" s="1320">
        <v>0</v>
      </c>
      <c r="N171" s="1320">
        <v>0</v>
      </c>
      <c r="O171" s="1320">
        <v>0</v>
      </c>
      <c r="P171" s="1320">
        <v>4700000</v>
      </c>
    </row>
    <row r="172" spans="1:16">
      <c r="A172" s="657"/>
      <c r="B172" s="114"/>
      <c r="C172" s="778" t="s">
        <v>3998</v>
      </c>
      <c r="D172" s="779">
        <v>300000</v>
      </c>
      <c r="E172" s="779">
        <v>350000</v>
      </c>
      <c r="F172" s="779">
        <v>200000</v>
      </c>
      <c r="G172" s="779">
        <v>100000</v>
      </c>
      <c r="H172" s="779">
        <v>100000</v>
      </c>
      <c r="I172" s="779">
        <v>0</v>
      </c>
      <c r="J172" s="779">
        <v>50000</v>
      </c>
      <c r="K172" s="779">
        <v>0</v>
      </c>
      <c r="L172" s="779">
        <v>0</v>
      </c>
      <c r="M172" s="779">
        <v>0</v>
      </c>
      <c r="N172" s="779">
        <v>0</v>
      </c>
      <c r="O172" s="779">
        <v>0</v>
      </c>
      <c r="P172" s="1318">
        <v>1100000</v>
      </c>
    </row>
    <row r="173" spans="1:16">
      <c r="A173" s="657"/>
      <c r="B173" s="114"/>
      <c r="C173" s="778" t="s">
        <v>4002</v>
      </c>
      <c r="D173" s="779">
        <v>350000</v>
      </c>
      <c r="E173" s="779">
        <v>450000</v>
      </c>
      <c r="F173" s="779">
        <v>0</v>
      </c>
      <c r="G173" s="779">
        <v>0</v>
      </c>
      <c r="H173" s="779">
        <v>0</v>
      </c>
      <c r="I173" s="779">
        <v>0</v>
      </c>
      <c r="J173" s="779">
        <v>0</v>
      </c>
      <c r="K173" s="779">
        <v>0</v>
      </c>
      <c r="L173" s="779">
        <v>0</v>
      </c>
      <c r="M173" s="779">
        <v>0</v>
      </c>
      <c r="N173" s="779">
        <v>0</v>
      </c>
      <c r="O173" s="779">
        <v>0</v>
      </c>
      <c r="P173" s="1318">
        <v>800000</v>
      </c>
    </row>
    <row r="174" spans="1:16">
      <c r="A174" s="657"/>
      <c r="B174" s="114"/>
      <c r="C174" s="90" t="s">
        <v>5626</v>
      </c>
      <c r="D174" s="779">
        <v>0</v>
      </c>
      <c r="E174" s="779">
        <v>0</v>
      </c>
      <c r="F174" s="779">
        <v>1200000</v>
      </c>
      <c r="G174" s="779">
        <v>1600000</v>
      </c>
      <c r="H174" s="779">
        <v>0</v>
      </c>
      <c r="I174" s="779">
        <v>0</v>
      </c>
      <c r="J174" s="779">
        <v>0</v>
      </c>
      <c r="K174" s="779">
        <v>0</v>
      </c>
      <c r="L174" s="779">
        <v>0</v>
      </c>
      <c r="M174" s="779">
        <v>0</v>
      </c>
      <c r="N174" s="779">
        <v>0</v>
      </c>
      <c r="O174" s="779">
        <v>0</v>
      </c>
      <c r="P174" s="1318">
        <v>2800000</v>
      </c>
    </row>
    <row r="175" spans="1:16" ht="15">
      <c r="A175" s="657"/>
      <c r="B175" s="114"/>
      <c r="C175" s="112" t="s">
        <v>100</v>
      </c>
      <c r="D175" s="1320">
        <v>650000</v>
      </c>
      <c r="E175" s="1320">
        <v>750000</v>
      </c>
      <c r="F175" s="1320">
        <v>200000</v>
      </c>
      <c r="G175" s="1320">
        <v>100000</v>
      </c>
      <c r="H175" s="1320">
        <v>100000</v>
      </c>
      <c r="I175" s="1320">
        <v>0</v>
      </c>
      <c r="J175" s="1320">
        <v>50000</v>
      </c>
      <c r="K175" s="1320">
        <v>0</v>
      </c>
      <c r="L175" s="1320">
        <v>0</v>
      </c>
      <c r="M175" s="1320">
        <v>0</v>
      </c>
      <c r="N175" s="1320">
        <v>0</v>
      </c>
      <c r="O175" s="1320">
        <v>0</v>
      </c>
      <c r="P175" s="1320">
        <v>1850000</v>
      </c>
    </row>
    <row r="176" spans="1:16">
      <c r="A176" s="657"/>
      <c r="B176" s="114"/>
      <c r="C176" s="778" t="s">
        <v>4002</v>
      </c>
      <c r="D176" s="779">
        <v>350000</v>
      </c>
      <c r="E176" s="779">
        <v>400000</v>
      </c>
      <c r="F176" s="779">
        <v>0</v>
      </c>
      <c r="G176" s="779">
        <v>0</v>
      </c>
      <c r="H176" s="779">
        <v>0</v>
      </c>
      <c r="I176" s="779">
        <v>0</v>
      </c>
      <c r="J176" s="779">
        <v>0</v>
      </c>
      <c r="K176" s="779">
        <v>0</v>
      </c>
      <c r="L176" s="779">
        <v>0</v>
      </c>
      <c r="M176" s="779">
        <v>0</v>
      </c>
      <c r="N176" s="779">
        <v>0</v>
      </c>
      <c r="O176" s="779">
        <v>0</v>
      </c>
      <c r="P176" s="1318">
        <v>750000</v>
      </c>
    </row>
    <row r="177" spans="1:16">
      <c r="A177" s="657"/>
      <c r="B177" s="114"/>
      <c r="C177" s="778" t="s">
        <v>4003</v>
      </c>
      <c r="D177" s="779">
        <v>300000</v>
      </c>
      <c r="E177" s="779">
        <v>350000</v>
      </c>
      <c r="F177" s="779">
        <v>200000</v>
      </c>
      <c r="G177" s="779">
        <v>100000</v>
      </c>
      <c r="H177" s="779">
        <v>100000</v>
      </c>
      <c r="I177" s="779">
        <v>0</v>
      </c>
      <c r="J177" s="779">
        <v>50000</v>
      </c>
      <c r="K177" s="779">
        <v>0</v>
      </c>
      <c r="L177" s="779">
        <v>0</v>
      </c>
      <c r="M177" s="779">
        <v>0</v>
      </c>
      <c r="N177" s="779">
        <v>0</v>
      </c>
      <c r="O177" s="779">
        <v>0</v>
      </c>
      <c r="P177" s="1318">
        <v>1100000</v>
      </c>
    </row>
    <row r="178" spans="1:16" ht="15">
      <c r="A178" s="657"/>
      <c r="B178" s="114"/>
      <c r="C178" s="112" t="s">
        <v>4004</v>
      </c>
      <c r="D178" s="1320">
        <v>300000</v>
      </c>
      <c r="E178" s="1320">
        <v>350000</v>
      </c>
      <c r="F178" s="1320">
        <v>200000</v>
      </c>
      <c r="G178" s="1320">
        <v>100000</v>
      </c>
      <c r="H178" s="1320">
        <v>100000</v>
      </c>
      <c r="I178" s="1320">
        <v>0</v>
      </c>
      <c r="J178" s="1320">
        <v>50000</v>
      </c>
      <c r="K178" s="1320">
        <v>0</v>
      </c>
      <c r="L178" s="1320">
        <v>0</v>
      </c>
      <c r="M178" s="1320">
        <v>0</v>
      </c>
      <c r="N178" s="1320">
        <v>0</v>
      </c>
      <c r="O178" s="1320">
        <v>0</v>
      </c>
      <c r="P178" s="1320">
        <v>1100000</v>
      </c>
    </row>
    <row r="179" spans="1:16">
      <c r="A179" s="657"/>
      <c r="B179" s="114"/>
      <c r="C179" s="778" t="s">
        <v>3998</v>
      </c>
      <c r="D179" s="779">
        <v>300000</v>
      </c>
      <c r="E179" s="779">
        <v>350000</v>
      </c>
      <c r="F179" s="779">
        <v>200000</v>
      </c>
      <c r="G179" s="779">
        <v>100000</v>
      </c>
      <c r="H179" s="779">
        <v>100000</v>
      </c>
      <c r="I179" s="779">
        <v>0</v>
      </c>
      <c r="J179" s="779">
        <v>50000</v>
      </c>
      <c r="K179" s="779">
        <v>0</v>
      </c>
      <c r="L179" s="779">
        <v>0</v>
      </c>
      <c r="M179" s="779">
        <v>0</v>
      </c>
      <c r="N179" s="779">
        <v>0</v>
      </c>
      <c r="O179" s="779">
        <v>0</v>
      </c>
      <c r="P179" s="1318">
        <v>1100000</v>
      </c>
    </row>
    <row r="180" spans="1:16" ht="15">
      <c r="A180" s="657"/>
      <c r="B180" s="114"/>
      <c r="C180" s="112" t="s">
        <v>4005</v>
      </c>
      <c r="D180" s="1320">
        <v>300000</v>
      </c>
      <c r="E180" s="1320">
        <v>350000</v>
      </c>
      <c r="F180" s="1320">
        <v>200000</v>
      </c>
      <c r="G180" s="1320">
        <v>100000</v>
      </c>
      <c r="H180" s="1320">
        <v>100000</v>
      </c>
      <c r="I180" s="1320">
        <v>0</v>
      </c>
      <c r="J180" s="1320">
        <v>50000</v>
      </c>
      <c r="K180" s="1320">
        <v>0</v>
      </c>
      <c r="L180" s="1320">
        <v>0</v>
      </c>
      <c r="M180" s="1320">
        <v>0</v>
      </c>
      <c r="N180" s="1320">
        <v>0</v>
      </c>
      <c r="O180" s="1320">
        <v>0</v>
      </c>
      <c r="P180" s="1320">
        <v>1100000</v>
      </c>
    </row>
    <row r="181" spans="1:16">
      <c r="A181" s="657"/>
      <c r="B181" s="114"/>
      <c r="C181" s="778" t="s">
        <v>3998</v>
      </c>
      <c r="D181" s="779">
        <v>300000</v>
      </c>
      <c r="E181" s="779">
        <v>350000</v>
      </c>
      <c r="F181" s="779">
        <v>200000</v>
      </c>
      <c r="G181" s="779">
        <v>100000</v>
      </c>
      <c r="H181" s="779">
        <v>100000</v>
      </c>
      <c r="I181" s="779">
        <v>0</v>
      </c>
      <c r="J181" s="779">
        <v>50000</v>
      </c>
      <c r="K181" s="779">
        <v>0</v>
      </c>
      <c r="L181" s="779">
        <v>0</v>
      </c>
      <c r="M181" s="779">
        <v>0</v>
      </c>
      <c r="N181" s="779">
        <v>0</v>
      </c>
      <c r="O181" s="779">
        <v>0</v>
      </c>
      <c r="P181" s="1318">
        <v>1100000</v>
      </c>
    </row>
    <row r="182" spans="1:16" ht="15">
      <c r="A182" s="657"/>
      <c r="B182" s="114"/>
      <c r="C182" s="112" t="s">
        <v>4006</v>
      </c>
      <c r="D182" s="1320">
        <v>300000</v>
      </c>
      <c r="E182" s="1320">
        <v>350000</v>
      </c>
      <c r="F182" s="1320">
        <v>200000</v>
      </c>
      <c r="G182" s="1320">
        <v>100000</v>
      </c>
      <c r="H182" s="1320">
        <v>100000</v>
      </c>
      <c r="I182" s="1320">
        <v>0</v>
      </c>
      <c r="J182" s="1320">
        <v>50000</v>
      </c>
      <c r="K182" s="1320">
        <v>0</v>
      </c>
      <c r="L182" s="1320">
        <v>0</v>
      </c>
      <c r="M182" s="1320">
        <v>0</v>
      </c>
      <c r="N182" s="1320">
        <v>0</v>
      </c>
      <c r="O182" s="1320">
        <v>0</v>
      </c>
      <c r="P182" s="1320">
        <v>1100000</v>
      </c>
    </row>
    <row r="183" spans="1:16">
      <c r="A183" s="657"/>
      <c r="B183" s="114"/>
      <c r="C183" s="778" t="s">
        <v>3998</v>
      </c>
      <c r="D183" s="779">
        <v>300000</v>
      </c>
      <c r="E183" s="779">
        <v>350000</v>
      </c>
      <c r="F183" s="779">
        <v>200000</v>
      </c>
      <c r="G183" s="779">
        <v>100000</v>
      </c>
      <c r="H183" s="779">
        <v>100000</v>
      </c>
      <c r="I183" s="779">
        <v>0</v>
      </c>
      <c r="J183" s="779">
        <v>50000</v>
      </c>
      <c r="K183" s="779">
        <v>0</v>
      </c>
      <c r="L183" s="779">
        <v>0</v>
      </c>
      <c r="M183" s="779">
        <v>0</v>
      </c>
      <c r="N183" s="779">
        <v>0</v>
      </c>
      <c r="O183" s="779">
        <v>0</v>
      </c>
      <c r="P183" s="1318">
        <v>1100000</v>
      </c>
    </row>
    <row r="184" spans="1:16" ht="15">
      <c r="A184" s="657"/>
      <c r="B184" s="114"/>
      <c r="C184" s="112" t="s">
        <v>3264</v>
      </c>
      <c r="D184" s="1320">
        <f t="shared" ref="D184:P184" si="10">+D182+D180+D178+D175+D171+D165+D161+D156+D149+D144</f>
        <v>31581500</v>
      </c>
      <c r="E184" s="1320">
        <f t="shared" si="10"/>
        <v>38912500</v>
      </c>
      <c r="F184" s="1320">
        <f t="shared" si="10"/>
        <v>8567000</v>
      </c>
      <c r="G184" s="1320">
        <f t="shared" si="10"/>
        <v>5250000</v>
      </c>
      <c r="H184" s="1320">
        <f t="shared" si="10"/>
        <v>3760000</v>
      </c>
      <c r="I184" s="1320">
        <f t="shared" si="10"/>
        <v>3800000</v>
      </c>
      <c r="J184" s="1320">
        <f t="shared" si="10"/>
        <v>1950000</v>
      </c>
      <c r="K184" s="1320">
        <f t="shared" si="10"/>
        <v>550000</v>
      </c>
      <c r="L184" s="1320">
        <f t="shared" si="10"/>
        <v>0</v>
      </c>
      <c r="M184" s="1320">
        <f t="shared" si="10"/>
        <v>0</v>
      </c>
      <c r="N184" s="1320">
        <f t="shared" si="10"/>
        <v>0</v>
      </c>
      <c r="O184" s="1320">
        <f t="shared" si="10"/>
        <v>0</v>
      </c>
      <c r="P184" s="1320">
        <f t="shared" si="10"/>
        <v>94371000</v>
      </c>
    </row>
    <row r="185" spans="1:16">
      <c r="A185" s="657"/>
      <c r="B185" s="114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</row>
    <row r="186" spans="1:16">
      <c r="A186" s="657"/>
      <c r="B186" s="114"/>
      <c r="D186" s="658"/>
      <c r="E186" s="658"/>
      <c r="F186" s="658"/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</row>
    <row r="188" spans="1:16">
      <c r="B188" s="1598" t="s">
        <v>14</v>
      </c>
      <c r="C188" s="1599"/>
      <c r="D188" s="584" t="s">
        <v>51</v>
      </c>
      <c r="E188" s="584" t="s">
        <v>52</v>
      </c>
      <c r="F188" s="584" t="s">
        <v>53</v>
      </c>
      <c r="G188" s="584" t="s">
        <v>54</v>
      </c>
      <c r="H188" s="584" t="s">
        <v>55</v>
      </c>
      <c r="I188" s="584" t="s">
        <v>56</v>
      </c>
      <c r="J188" s="584" t="s">
        <v>57</v>
      </c>
      <c r="K188" s="584" t="s">
        <v>58</v>
      </c>
      <c r="L188" s="584" t="s">
        <v>59</v>
      </c>
      <c r="M188" s="584" t="s">
        <v>60</v>
      </c>
      <c r="N188" s="584" t="s">
        <v>61</v>
      </c>
      <c r="O188" s="584" t="s">
        <v>62</v>
      </c>
      <c r="P188" s="574" t="s">
        <v>3253</v>
      </c>
    </row>
    <row r="189" spans="1:16">
      <c r="B189" s="131" t="s">
        <v>216</v>
      </c>
      <c r="C189" s="131"/>
      <c r="D189" s="138">
        <v>6767088.1803010339</v>
      </c>
      <c r="E189" s="138">
        <v>6767088.1803010339</v>
      </c>
      <c r="F189" s="138">
        <v>6767088.1803010339</v>
      </c>
      <c r="G189" s="138">
        <v>6767088.1803010339</v>
      </c>
      <c r="H189" s="138">
        <v>6767088.1803010339</v>
      </c>
      <c r="I189" s="138">
        <v>6767088.1803010339</v>
      </c>
      <c r="J189" s="138">
        <v>6767088.1803010339</v>
      </c>
      <c r="K189" s="138">
        <v>6767088.1803010339</v>
      </c>
      <c r="L189" s="138">
        <v>6767088.1803010339</v>
      </c>
      <c r="M189" s="138">
        <v>6767088.1803010339</v>
      </c>
      <c r="N189" s="138">
        <v>6767088.1803010339</v>
      </c>
      <c r="O189" s="138">
        <v>6767088.1803010339</v>
      </c>
      <c r="P189" s="138">
        <v>81205058.163612425</v>
      </c>
    </row>
    <row r="190" spans="1:16">
      <c r="B190" s="90"/>
      <c r="C190" s="90" t="s">
        <v>16</v>
      </c>
      <c r="D190" s="93">
        <v>5819245.9500000002</v>
      </c>
      <c r="E190" s="93">
        <v>5819245.9500000002</v>
      </c>
      <c r="F190" s="93">
        <v>5819245.9500000002</v>
      </c>
      <c r="G190" s="93">
        <v>5819245.9500000002</v>
      </c>
      <c r="H190" s="93">
        <v>5819245.9500000002</v>
      </c>
      <c r="I190" s="93">
        <v>5819245.9500000002</v>
      </c>
      <c r="J190" s="93">
        <v>5819245.9500000002</v>
      </c>
      <c r="K190" s="93">
        <v>5819245.9500000002</v>
      </c>
      <c r="L190" s="93">
        <v>5819245.9500000002</v>
      </c>
      <c r="M190" s="93">
        <v>5819245.9500000002</v>
      </c>
      <c r="N190" s="93">
        <v>5819245.9500000002</v>
      </c>
      <c r="O190" s="93">
        <v>5819245.9500000002</v>
      </c>
      <c r="P190" s="93">
        <v>69830951.400000021</v>
      </c>
    </row>
    <row r="191" spans="1:16">
      <c r="B191" s="90"/>
      <c r="C191" s="90" t="s">
        <v>17</v>
      </c>
      <c r="D191" s="93">
        <v>331097.60000000003</v>
      </c>
      <c r="E191" s="93">
        <v>331097.60000000003</v>
      </c>
      <c r="F191" s="93">
        <v>331097.60000000003</v>
      </c>
      <c r="G191" s="93">
        <v>331097.60000000003</v>
      </c>
      <c r="H191" s="93">
        <v>331097.60000000003</v>
      </c>
      <c r="I191" s="93">
        <v>331097.60000000003</v>
      </c>
      <c r="J191" s="93">
        <v>331097.60000000003</v>
      </c>
      <c r="K191" s="93">
        <v>331097.60000000003</v>
      </c>
      <c r="L191" s="93">
        <v>331097.60000000003</v>
      </c>
      <c r="M191" s="93">
        <v>331097.60000000003</v>
      </c>
      <c r="N191" s="93">
        <v>331097.60000000003</v>
      </c>
      <c r="O191" s="93">
        <v>331097.60000000003</v>
      </c>
      <c r="P191" s="93">
        <v>3973171.2000000007</v>
      </c>
    </row>
    <row r="192" spans="1:16">
      <c r="B192" s="90"/>
      <c r="C192" s="90" t="s">
        <v>18</v>
      </c>
      <c r="D192" s="93">
        <v>616744.63030103373</v>
      </c>
      <c r="E192" s="93">
        <v>616744.63030103373</v>
      </c>
      <c r="F192" s="93">
        <v>616744.63030103373</v>
      </c>
      <c r="G192" s="93">
        <v>616744.63030103373</v>
      </c>
      <c r="H192" s="93">
        <v>616744.63030103373</v>
      </c>
      <c r="I192" s="93">
        <v>616744.63030103373</v>
      </c>
      <c r="J192" s="93">
        <v>616744.63030103373</v>
      </c>
      <c r="K192" s="93">
        <v>616744.63030103373</v>
      </c>
      <c r="L192" s="93">
        <v>616744.63030103373</v>
      </c>
      <c r="M192" s="93">
        <v>616744.63030103373</v>
      </c>
      <c r="N192" s="93">
        <v>616744.63030103373</v>
      </c>
      <c r="O192" s="93">
        <v>616744.63030103373</v>
      </c>
      <c r="P192" s="93">
        <v>7400935.5636124061</v>
      </c>
    </row>
    <row r="193" spans="2:16">
      <c r="B193" s="131" t="s">
        <v>217</v>
      </c>
      <c r="C193" s="131"/>
      <c r="D193" s="131">
        <v>463926.60183430236</v>
      </c>
      <c r="E193" s="131">
        <v>463926.60183430236</v>
      </c>
      <c r="F193" s="131">
        <v>463926.60183430236</v>
      </c>
      <c r="G193" s="131">
        <v>463926.60183430236</v>
      </c>
      <c r="H193" s="131">
        <v>463926.60183430236</v>
      </c>
      <c r="I193" s="131">
        <v>463926.60183430236</v>
      </c>
      <c r="J193" s="131">
        <v>463926.60183430236</v>
      </c>
      <c r="K193" s="131">
        <v>463926.60183430236</v>
      </c>
      <c r="L193" s="131">
        <v>463926.60183430236</v>
      </c>
      <c r="M193" s="131">
        <v>463926.60183430236</v>
      </c>
      <c r="N193" s="131">
        <v>463926.60183430236</v>
      </c>
      <c r="O193" s="131">
        <v>463926.60183430236</v>
      </c>
      <c r="P193" s="131">
        <v>5567119.2220116295</v>
      </c>
    </row>
    <row r="194" spans="2:16">
      <c r="B194" s="90"/>
      <c r="C194" s="90" t="s">
        <v>19</v>
      </c>
      <c r="D194" s="93">
        <v>336805.35000000003</v>
      </c>
      <c r="E194" s="93">
        <v>336805.35000000003</v>
      </c>
      <c r="F194" s="93">
        <v>336805.35000000003</v>
      </c>
      <c r="G194" s="93">
        <v>336805.35000000003</v>
      </c>
      <c r="H194" s="93">
        <v>336805.35000000003</v>
      </c>
      <c r="I194" s="93">
        <v>336805.35000000003</v>
      </c>
      <c r="J194" s="93">
        <v>336805.35000000003</v>
      </c>
      <c r="K194" s="93">
        <v>336805.35000000003</v>
      </c>
      <c r="L194" s="93">
        <v>336805.35000000003</v>
      </c>
      <c r="M194" s="93">
        <v>336805.35000000003</v>
      </c>
      <c r="N194" s="93">
        <v>336805.35000000003</v>
      </c>
      <c r="O194" s="93">
        <v>336805.35000000003</v>
      </c>
      <c r="P194" s="93">
        <v>4041664.2000000007</v>
      </c>
    </row>
    <row r="195" spans="2:16">
      <c r="B195" s="90"/>
      <c r="C195" s="90" t="s">
        <v>20</v>
      </c>
      <c r="D195" s="93">
        <v>127121.25183430234</v>
      </c>
      <c r="E195" s="93">
        <v>127121.25183430234</v>
      </c>
      <c r="F195" s="93">
        <v>127121.25183430234</v>
      </c>
      <c r="G195" s="93">
        <v>127121.25183430234</v>
      </c>
      <c r="H195" s="93">
        <v>127121.25183430234</v>
      </c>
      <c r="I195" s="93">
        <v>127121.25183430234</v>
      </c>
      <c r="J195" s="93">
        <v>127121.25183430234</v>
      </c>
      <c r="K195" s="93">
        <v>127121.25183430234</v>
      </c>
      <c r="L195" s="93">
        <v>127121.25183430234</v>
      </c>
      <c r="M195" s="93">
        <v>127121.25183430234</v>
      </c>
      <c r="N195" s="93">
        <v>127121.25183430234</v>
      </c>
      <c r="O195" s="93">
        <v>127121.25183430234</v>
      </c>
      <c r="P195" s="93">
        <v>1525455.0220116284</v>
      </c>
    </row>
    <row r="196" spans="2:16">
      <c r="B196" s="131" t="s">
        <v>218</v>
      </c>
      <c r="C196" s="131"/>
      <c r="D196" s="131">
        <v>577540.11771227396</v>
      </c>
      <c r="E196" s="131">
        <v>577540.11771227396</v>
      </c>
      <c r="F196" s="131">
        <v>577540.11771227396</v>
      </c>
      <c r="G196" s="131">
        <v>577540.11771227396</v>
      </c>
      <c r="H196" s="131">
        <v>577540.11771227396</v>
      </c>
      <c r="I196" s="131">
        <v>577540.11771227396</v>
      </c>
      <c r="J196" s="131">
        <v>577540.11771227396</v>
      </c>
      <c r="K196" s="131">
        <v>577540.11771227396</v>
      </c>
      <c r="L196" s="131">
        <v>577540.11771227396</v>
      </c>
      <c r="M196" s="131">
        <v>577540.11771227396</v>
      </c>
      <c r="N196" s="131">
        <v>577540.11771227396</v>
      </c>
      <c r="O196" s="131">
        <v>577540.11771227396</v>
      </c>
      <c r="P196" s="131">
        <v>6930481.4125472857</v>
      </c>
    </row>
    <row r="197" spans="2:16">
      <c r="B197" s="90"/>
      <c r="C197" s="90" t="s">
        <v>22</v>
      </c>
      <c r="D197" s="93">
        <v>474312.30000000005</v>
      </c>
      <c r="E197" s="93">
        <v>474312.30000000005</v>
      </c>
      <c r="F197" s="93">
        <v>474312.30000000005</v>
      </c>
      <c r="G197" s="93">
        <v>474312.30000000005</v>
      </c>
      <c r="H197" s="93">
        <v>474312.30000000005</v>
      </c>
      <c r="I197" s="93">
        <v>474312.30000000005</v>
      </c>
      <c r="J197" s="93">
        <v>474312.30000000005</v>
      </c>
      <c r="K197" s="93">
        <v>474312.30000000005</v>
      </c>
      <c r="L197" s="93">
        <v>474312.30000000005</v>
      </c>
      <c r="M197" s="93">
        <v>474312.30000000005</v>
      </c>
      <c r="N197" s="93">
        <v>474312.30000000005</v>
      </c>
      <c r="O197" s="93">
        <v>474312.30000000005</v>
      </c>
      <c r="P197" s="93">
        <v>5691747.5999999987</v>
      </c>
    </row>
    <row r="198" spans="2:16">
      <c r="B198" s="90"/>
      <c r="C198" s="90" t="s">
        <v>78</v>
      </c>
      <c r="D198" s="93">
        <v>48116.520499999999</v>
      </c>
      <c r="E198" s="93">
        <v>48116.520499999999</v>
      </c>
      <c r="F198" s="93">
        <v>48116.520499999999</v>
      </c>
      <c r="G198" s="93">
        <v>48116.520499999999</v>
      </c>
      <c r="H198" s="93">
        <v>48116.520499999999</v>
      </c>
      <c r="I198" s="93">
        <v>48116.520499999999</v>
      </c>
      <c r="J198" s="93">
        <v>48116.520499999999</v>
      </c>
      <c r="K198" s="93">
        <v>48116.520499999999</v>
      </c>
      <c r="L198" s="93">
        <v>48116.520499999999</v>
      </c>
      <c r="M198" s="93">
        <v>48116.520499999999</v>
      </c>
      <c r="N198" s="93">
        <v>48116.520499999999</v>
      </c>
      <c r="O198" s="93">
        <v>48116.520499999999</v>
      </c>
      <c r="P198" s="93">
        <v>577398.24599999993</v>
      </c>
    </row>
    <row r="199" spans="2:16">
      <c r="B199" s="90"/>
      <c r="C199" s="90" t="s">
        <v>20</v>
      </c>
      <c r="D199" s="93">
        <v>55111.297212273901</v>
      </c>
      <c r="E199" s="93">
        <v>55111.297212273901</v>
      </c>
      <c r="F199" s="93">
        <v>55111.297212273901</v>
      </c>
      <c r="G199" s="93">
        <v>55111.297212273901</v>
      </c>
      <c r="H199" s="93">
        <v>55111.297212273901</v>
      </c>
      <c r="I199" s="93">
        <v>55111.297212273901</v>
      </c>
      <c r="J199" s="93">
        <v>55111.297212273901</v>
      </c>
      <c r="K199" s="93">
        <v>55111.297212273901</v>
      </c>
      <c r="L199" s="93">
        <v>55111.297212273901</v>
      </c>
      <c r="M199" s="93">
        <v>55111.297212273901</v>
      </c>
      <c r="N199" s="93">
        <v>55111.297212273901</v>
      </c>
      <c r="O199" s="93">
        <v>55111.297212273901</v>
      </c>
      <c r="P199" s="93">
        <v>661335.56654728705</v>
      </c>
    </row>
    <row r="200" spans="2:16">
      <c r="B200" s="131" t="s">
        <v>219</v>
      </c>
      <c r="C200" s="131"/>
      <c r="D200" s="131">
        <v>51312.439015713389</v>
      </c>
      <c r="E200" s="131">
        <v>51312.439015713389</v>
      </c>
      <c r="F200" s="131">
        <v>51312.439015713389</v>
      </c>
      <c r="G200" s="131">
        <v>51312.439015713389</v>
      </c>
      <c r="H200" s="131">
        <v>51312.439015713389</v>
      </c>
      <c r="I200" s="131">
        <v>51312.439015713389</v>
      </c>
      <c r="J200" s="131">
        <v>51312.439015713389</v>
      </c>
      <c r="K200" s="131">
        <v>51312.439015713389</v>
      </c>
      <c r="L200" s="131">
        <v>51312.439015713389</v>
      </c>
      <c r="M200" s="131">
        <v>51312.439015713389</v>
      </c>
      <c r="N200" s="131">
        <v>51312.439015713389</v>
      </c>
      <c r="O200" s="131">
        <v>51312.439015713389</v>
      </c>
      <c r="P200" s="131">
        <v>615749.26818856073</v>
      </c>
    </row>
    <row r="201" spans="2:16">
      <c r="B201" s="90"/>
      <c r="C201" s="90" t="s">
        <v>22</v>
      </c>
      <c r="D201" s="93">
        <v>27445.95</v>
      </c>
      <c r="E201" s="93">
        <v>27445.95</v>
      </c>
      <c r="F201" s="93">
        <v>27445.95</v>
      </c>
      <c r="G201" s="93">
        <v>27445.95</v>
      </c>
      <c r="H201" s="93">
        <v>27445.95</v>
      </c>
      <c r="I201" s="93">
        <v>27445.95</v>
      </c>
      <c r="J201" s="93">
        <v>27445.95</v>
      </c>
      <c r="K201" s="93">
        <v>27445.95</v>
      </c>
      <c r="L201" s="93">
        <v>27445.95</v>
      </c>
      <c r="M201" s="93">
        <v>27445.95</v>
      </c>
      <c r="N201" s="93">
        <v>27445.95</v>
      </c>
      <c r="O201" s="93">
        <v>27445.95</v>
      </c>
      <c r="P201" s="93">
        <v>329351.40000000008</v>
      </c>
    </row>
    <row r="202" spans="2:16">
      <c r="B202" s="90"/>
      <c r="C202" s="90" t="s">
        <v>20</v>
      </c>
      <c r="D202" s="93">
        <v>23866.489015713385</v>
      </c>
      <c r="E202" s="93">
        <v>23866.489015713385</v>
      </c>
      <c r="F202" s="93">
        <v>23866.489015713385</v>
      </c>
      <c r="G202" s="93">
        <v>23866.489015713385</v>
      </c>
      <c r="H202" s="93">
        <v>23866.489015713385</v>
      </c>
      <c r="I202" s="93">
        <v>23866.489015713385</v>
      </c>
      <c r="J202" s="93">
        <v>23866.489015713385</v>
      </c>
      <c r="K202" s="93">
        <v>23866.489015713385</v>
      </c>
      <c r="L202" s="93">
        <v>23866.489015713385</v>
      </c>
      <c r="M202" s="93">
        <v>23866.489015713385</v>
      </c>
      <c r="N202" s="93">
        <v>23866.489015713385</v>
      </c>
      <c r="O202" s="93">
        <v>23866.489015713385</v>
      </c>
      <c r="P202" s="93">
        <v>286397.86818856065</v>
      </c>
    </row>
    <row r="203" spans="2:16">
      <c r="B203" s="131" t="s">
        <v>95</v>
      </c>
      <c r="C203" s="131"/>
      <c r="D203" s="131">
        <v>210537.8679379845</v>
      </c>
      <c r="E203" s="131">
        <v>210537.8679379845</v>
      </c>
      <c r="F203" s="131">
        <v>210537.8679379845</v>
      </c>
      <c r="G203" s="131">
        <v>210537.8679379845</v>
      </c>
      <c r="H203" s="131">
        <v>210537.8679379845</v>
      </c>
      <c r="I203" s="131">
        <v>210537.8679379845</v>
      </c>
      <c r="J203" s="131">
        <v>210537.8679379845</v>
      </c>
      <c r="K203" s="131">
        <v>210537.8679379845</v>
      </c>
      <c r="L203" s="131">
        <v>210537.8679379845</v>
      </c>
      <c r="M203" s="131">
        <v>210537.8679379845</v>
      </c>
      <c r="N203" s="131">
        <v>210537.8679379845</v>
      </c>
      <c r="O203" s="131">
        <v>210537.8679379845</v>
      </c>
      <c r="P203" s="131">
        <v>2526454.4152558143</v>
      </c>
    </row>
    <row r="204" spans="2:16">
      <c r="B204" s="90"/>
      <c r="C204" s="90" t="s">
        <v>17</v>
      </c>
      <c r="D204" s="93">
        <v>82086.850000000006</v>
      </c>
      <c r="E204" s="93">
        <v>82086.850000000006</v>
      </c>
      <c r="F204" s="93">
        <v>82086.850000000006</v>
      </c>
      <c r="G204" s="93">
        <v>82086.850000000006</v>
      </c>
      <c r="H204" s="93">
        <v>82086.850000000006</v>
      </c>
      <c r="I204" s="93">
        <v>82086.850000000006</v>
      </c>
      <c r="J204" s="93">
        <v>82086.850000000006</v>
      </c>
      <c r="K204" s="93">
        <v>82086.850000000006</v>
      </c>
      <c r="L204" s="93">
        <v>82086.850000000006</v>
      </c>
      <c r="M204" s="93">
        <v>82086.850000000006</v>
      </c>
      <c r="N204" s="93">
        <v>82086.850000000006</v>
      </c>
      <c r="O204" s="93">
        <v>82086.850000000006</v>
      </c>
      <c r="P204" s="93">
        <v>985042.19999999984</v>
      </c>
    </row>
    <row r="205" spans="2:16">
      <c r="B205" s="92"/>
      <c r="C205" s="90" t="s">
        <v>18</v>
      </c>
      <c r="D205" s="93">
        <v>128451.01793798449</v>
      </c>
      <c r="E205" s="93">
        <v>128451.01793798449</v>
      </c>
      <c r="F205" s="93">
        <v>128451.01793798449</v>
      </c>
      <c r="G205" s="93">
        <v>128451.01793798449</v>
      </c>
      <c r="H205" s="93">
        <v>128451.01793798449</v>
      </c>
      <c r="I205" s="93">
        <v>128451.01793798449</v>
      </c>
      <c r="J205" s="93">
        <v>128451.01793798449</v>
      </c>
      <c r="K205" s="93">
        <v>128451.01793798449</v>
      </c>
      <c r="L205" s="93">
        <v>128451.01793798449</v>
      </c>
      <c r="M205" s="93">
        <v>128451.01793798449</v>
      </c>
      <c r="N205" s="93">
        <v>128451.01793798449</v>
      </c>
      <c r="O205" s="93">
        <v>128451.01793798449</v>
      </c>
      <c r="P205" s="93">
        <v>1541412.2152558144</v>
      </c>
    </row>
    <row r="206" spans="2:16">
      <c r="B206" s="92"/>
      <c r="C206" s="90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136" t="s">
        <v>30</v>
      </c>
      <c r="C207" s="137"/>
      <c r="D207" s="131">
        <f>+D203+D200+D196+D193+D189</f>
        <v>8070405.2068013083</v>
      </c>
      <c r="E207" s="131">
        <f t="shared" ref="E207:P207" si="11">+E203+E200+E196+E193+E189</f>
        <v>8070405.2068013083</v>
      </c>
      <c r="F207" s="131">
        <f t="shared" si="11"/>
        <v>8070405.2068013083</v>
      </c>
      <c r="G207" s="131">
        <f t="shared" si="11"/>
        <v>8070405.2068013083</v>
      </c>
      <c r="H207" s="131">
        <f t="shared" si="11"/>
        <v>8070405.2068013083</v>
      </c>
      <c r="I207" s="131">
        <f t="shared" si="11"/>
        <v>8070405.2068013083</v>
      </c>
      <c r="J207" s="131">
        <f t="shared" si="11"/>
        <v>8070405.2068013083</v>
      </c>
      <c r="K207" s="131">
        <f t="shared" si="11"/>
        <v>8070405.2068013083</v>
      </c>
      <c r="L207" s="131">
        <f t="shared" si="11"/>
        <v>8070405.2068013083</v>
      </c>
      <c r="M207" s="131">
        <f t="shared" si="11"/>
        <v>8070405.2068013083</v>
      </c>
      <c r="N207" s="131">
        <f t="shared" si="11"/>
        <v>8070405.2068013083</v>
      </c>
      <c r="O207" s="131">
        <f t="shared" si="11"/>
        <v>8070405.2068013083</v>
      </c>
      <c r="P207" s="131">
        <f t="shared" si="11"/>
        <v>96844862.481615722</v>
      </c>
    </row>
    <row r="208" spans="2:16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>
      <c r="B210" s="1589" t="s">
        <v>0</v>
      </c>
      <c r="C210" s="1590"/>
      <c r="D210" s="584" t="s">
        <v>51</v>
      </c>
      <c r="E210" s="584" t="s">
        <v>52</v>
      </c>
      <c r="F210" s="584" t="s">
        <v>53</v>
      </c>
      <c r="G210" s="584" t="s">
        <v>54</v>
      </c>
      <c r="H210" s="584" t="s">
        <v>55</v>
      </c>
      <c r="I210" s="584" t="s">
        <v>56</v>
      </c>
      <c r="J210" s="584" t="s">
        <v>57</v>
      </c>
      <c r="K210" s="584" t="s">
        <v>58</v>
      </c>
      <c r="L210" s="584" t="s">
        <v>59</v>
      </c>
      <c r="M210" s="584" t="s">
        <v>60</v>
      </c>
      <c r="N210" s="584" t="s">
        <v>61</v>
      </c>
      <c r="O210" s="584" t="s">
        <v>62</v>
      </c>
      <c r="P210" s="574" t="s">
        <v>3253</v>
      </c>
    </row>
    <row r="211" spans="2:16">
      <c r="B211" s="90"/>
      <c r="C211" s="92" t="s">
        <v>609</v>
      </c>
      <c r="D211" s="93"/>
      <c r="E211" s="93"/>
      <c r="F211" s="93"/>
      <c r="G211" s="93"/>
      <c r="H211" s="93">
        <v>3727291.2600000002</v>
      </c>
      <c r="I211" s="93"/>
      <c r="J211" s="93"/>
      <c r="K211" s="93"/>
      <c r="L211" s="93"/>
      <c r="M211" s="93"/>
      <c r="N211" s="93"/>
      <c r="O211" s="93"/>
      <c r="P211" s="93">
        <v>3727291.2600000002</v>
      </c>
    </row>
    <row r="212" spans="2:16">
      <c r="B212" s="90"/>
      <c r="C212" s="92" t="s">
        <v>3265</v>
      </c>
      <c r="D212" s="93">
        <v>9100</v>
      </c>
      <c r="E212" s="93">
        <v>9100</v>
      </c>
      <c r="F212" s="93">
        <v>9100</v>
      </c>
      <c r="G212" s="93">
        <v>9100</v>
      </c>
      <c r="H212" s="93">
        <v>9100</v>
      </c>
      <c r="I212" s="93">
        <v>9100</v>
      </c>
      <c r="J212" s="93">
        <v>9100</v>
      </c>
      <c r="K212" s="93">
        <v>9100</v>
      </c>
      <c r="L212" s="93">
        <v>9100</v>
      </c>
      <c r="M212" s="93">
        <v>9100</v>
      </c>
      <c r="N212" s="93">
        <v>9100</v>
      </c>
      <c r="O212" s="93">
        <v>9100</v>
      </c>
      <c r="P212" s="93">
        <v>109200</v>
      </c>
    </row>
    <row r="213" spans="2:16">
      <c r="B213" s="90"/>
      <c r="C213" s="92" t="s">
        <v>3266</v>
      </c>
      <c r="D213" s="93">
        <v>18600</v>
      </c>
      <c r="E213" s="93">
        <v>18600</v>
      </c>
      <c r="F213" s="93">
        <v>18600</v>
      </c>
      <c r="G213" s="93">
        <v>18600</v>
      </c>
      <c r="H213" s="93">
        <v>18600</v>
      </c>
      <c r="I213" s="93">
        <v>18600</v>
      </c>
      <c r="J213" s="93">
        <v>18600</v>
      </c>
      <c r="K213" s="93">
        <v>18600</v>
      </c>
      <c r="L213" s="93">
        <v>18600</v>
      </c>
      <c r="M213" s="93">
        <v>18600</v>
      </c>
      <c r="N213" s="93">
        <v>18600</v>
      </c>
      <c r="O213" s="93">
        <v>18600</v>
      </c>
      <c r="P213" s="93">
        <v>223200</v>
      </c>
    </row>
    <row r="214" spans="2:16">
      <c r="B214" s="90"/>
      <c r="C214" s="92" t="s">
        <v>5628</v>
      </c>
      <c r="D214" s="93">
        <v>5300</v>
      </c>
      <c r="E214" s="93">
        <v>5300</v>
      </c>
      <c r="F214" s="93">
        <v>5300</v>
      </c>
      <c r="G214" s="93">
        <v>5300</v>
      </c>
      <c r="H214" s="93">
        <v>5300</v>
      </c>
      <c r="I214" s="93">
        <v>5300</v>
      </c>
      <c r="J214" s="93">
        <v>5300</v>
      </c>
      <c r="K214" s="93">
        <v>5300</v>
      </c>
      <c r="L214" s="93">
        <v>5300</v>
      </c>
      <c r="M214" s="93">
        <v>5300</v>
      </c>
      <c r="N214" s="93">
        <v>5300</v>
      </c>
      <c r="O214" s="93">
        <v>5300</v>
      </c>
      <c r="P214" s="93">
        <v>63600</v>
      </c>
    </row>
    <row r="215" spans="2:16">
      <c r="B215" s="90"/>
      <c r="C215" s="90" t="s">
        <v>1856</v>
      </c>
      <c r="D215" s="93">
        <v>11000</v>
      </c>
      <c r="E215" s="93">
        <v>11000</v>
      </c>
      <c r="F215" s="93">
        <v>11000</v>
      </c>
      <c r="G215" s="93">
        <v>11000</v>
      </c>
      <c r="H215" s="93">
        <v>11000</v>
      </c>
      <c r="I215" s="93">
        <v>11000</v>
      </c>
      <c r="J215" s="93">
        <v>11000</v>
      </c>
      <c r="K215" s="93">
        <v>11000</v>
      </c>
      <c r="L215" s="93">
        <v>11000</v>
      </c>
      <c r="M215" s="93">
        <v>11000</v>
      </c>
      <c r="N215" s="93">
        <v>11000</v>
      </c>
      <c r="O215" s="93">
        <v>11000</v>
      </c>
      <c r="P215" s="93">
        <v>132000</v>
      </c>
    </row>
    <row r="216" spans="2:16">
      <c r="B216" s="1591" t="s">
        <v>1</v>
      </c>
      <c r="C216" s="1592"/>
      <c r="D216" s="131">
        <f>SUM(D211:D215)</f>
        <v>44000</v>
      </c>
      <c r="E216" s="131">
        <f t="shared" ref="E216:P216" si="12">SUM(E211:E215)</f>
        <v>44000</v>
      </c>
      <c r="F216" s="131">
        <f t="shared" si="12"/>
        <v>44000</v>
      </c>
      <c r="G216" s="131">
        <f t="shared" si="12"/>
        <v>44000</v>
      </c>
      <c r="H216" s="131">
        <f t="shared" si="12"/>
        <v>3771291.2600000002</v>
      </c>
      <c r="I216" s="131">
        <f t="shared" si="12"/>
        <v>44000</v>
      </c>
      <c r="J216" s="131">
        <f t="shared" si="12"/>
        <v>44000</v>
      </c>
      <c r="K216" s="131">
        <f t="shared" si="12"/>
        <v>44000</v>
      </c>
      <c r="L216" s="131">
        <f t="shared" si="12"/>
        <v>44000</v>
      </c>
      <c r="M216" s="131">
        <f t="shared" si="12"/>
        <v>44000</v>
      </c>
      <c r="N216" s="131">
        <f t="shared" si="12"/>
        <v>44000</v>
      </c>
      <c r="O216" s="131">
        <f t="shared" si="12"/>
        <v>44000</v>
      </c>
      <c r="P216" s="131">
        <f t="shared" si="12"/>
        <v>4255291.26</v>
      </c>
    </row>
    <row r="217" spans="2:16">
      <c r="B217" s="141"/>
      <c r="C217" s="14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2:16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2:16">
      <c r="B219" s="1589" t="s">
        <v>220</v>
      </c>
      <c r="C219" s="1590"/>
      <c r="D219" s="584" t="s">
        <v>51</v>
      </c>
      <c r="E219" s="584" t="s">
        <v>52</v>
      </c>
      <c r="F219" s="584" t="s">
        <v>53</v>
      </c>
      <c r="G219" s="584" t="s">
        <v>54</v>
      </c>
      <c r="H219" s="584" t="s">
        <v>55</v>
      </c>
      <c r="I219" s="584" t="s">
        <v>56</v>
      </c>
      <c r="J219" s="584" t="s">
        <v>57</v>
      </c>
      <c r="K219" s="584" t="s">
        <v>58</v>
      </c>
      <c r="L219" s="584" t="s">
        <v>59</v>
      </c>
      <c r="M219" s="584" t="s">
        <v>60</v>
      </c>
      <c r="N219" s="584" t="s">
        <v>61</v>
      </c>
      <c r="O219" s="584" t="s">
        <v>62</v>
      </c>
      <c r="P219" s="584" t="s">
        <v>1846</v>
      </c>
    </row>
    <row r="220" spans="2:16">
      <c r="B220" s="90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>
        <f t="shared" ref="P220:P223" si="13">SUM(D220:O220)</f>
        <v>0</v>
      </c>
    </row>
    <row r="221" spans="2:16">
      <c r="B221" s="90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>
        <f t="shared" si="13"/>
        <v>0</v>
      </c>
    </row>
    <row r="222" spans="2:16">
      <c r="B222" s="90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>
        <f t="shared" si="13"/>
        <v>0</v>
      </c>
    </row>
    <row r="223" spans="2:16">
      <c r="B223" s="90"/>
      <c r="C223" s="90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>
        <f t="shared" si="13"/>
        <v>0</v>
      </c>
    </row>
    <row r="224" spans="2:16">
      <c r="B224" s="1591" t="s">
        <v>1857</v>
      </c>
      <c r="C224" s="1593"/>
      <c r="D224" s="131">
        <f t="shared" ref="D224:P224" si="14">SUM(D220:D223)</f>
        <v>0</v>
      </c>
      <c r="E224" s="131">
        <f t="shared" si="14"/>
        <v>0</v>
      </c>
      <c r="F224" s="131">
        <f t="shared" si="14"/>
        <v>0</v>
      </c>
      <c r="G224" s="131">
        <f t="shared" si="14"/>
        <v>0</v>
      </c>
      <c r="H224" s="131">
        <f t="shared" si="14"/>
        <v>0</v>
      </c>
      <c r="I224" s="131">
        <f t="shared" si="14"/>
        <v>0</v>
      </c>
      <c r="J224" s="131">
        <f t="shared" si="14"/>
        <v>0</v>
      </c>
      <c r="K224" s="131">
        <f t="shared" si="14"/>
        <v>0</v>
      </c>
      <c r="L224" s="131">
        <f t="shared" si="14"/>
        <v>0</v>
      </c>
      <c r="M224" s="131">
        <f t="shared" si="14"/>
        <v>0</v>
      </c>
      <c r="N224" s="131">
        <f t="shared" si="14"/>
        <v>0</v>
      </c>
      <c r="O224" s="131">
        <f t="shared" si="14"/>
        <v>0</v>
      </c>
      <c r="P224" s="131">
        <f t="shared" si="14"/>
        <v>0</v>
      </c>
    </row>
    <row r="227" spans="2:16">
      <c r="B227" s="591" t="s">
        <v>1858</v>
      </c>
      <c r="C227" s="591"/>
      <c r="D227" s="591">
        <v>571269.83109959983</v>
      </c>
      <c r="E227" s="591">
        <v>416237.39089879947</v>
      </c>
      <c r="F227" s="591">
        <v>348251.99829799903</v>
      </c>
      <c r="G227" s="591">
        <v>306955.68623053201</v>
      </c>
      <c r="H227" s="591">
        <v>278948.81292973168</v>
      </c>
      <c r="I227" s="591">
        <v>283337.692970598</v>
      </c>
      <c r="J227" s="591">
        <v>255340.39811146428</v>
      </c>
      <c r="K227" s="591">
        <v>232909.03937733066</v>
      </c>
      <c r="L227" s="591">
        <v>243856.03677653024</v>
      </c>
      <c r="M227" s="591">
        <v>230332.06750906329</v>
      </c>
      <c r="N227" s="591">
        <v>216803.07157492961</v>
      </c>
      <c r="O227" s="591">
        <v>225479.72234579595</v>
      </c>
      <c r="P227" s="591">
        <v>3609721.7481223745</v>
      </c>
    </row>
    <row r="229" spans="2:16">
      <c r="B229" s="591" t="s">
        <v>165</v>
      </c>
      <c r="C229" s="591"/>
      <c r="D229" s="591">
        <f>+D227</f>
        <v>571269.83109959983</v>
      </c>
      <c r="E229" s="591">
        <f t="shared" ref="E229:P229" si="15">+E227</f>
        <v>416237.39089879947</v>
      </c>
      <c r="F229" s="591">
        <f t="shared" si="15"/>
        <v>348251.99829799903</v>
      </c>
      <c r="G229" s="591">
        <f t="shared" si="15"/>
        <v>306955.68623053201</v>
      </c>
      <c r="H229" s="591">
        <f t="shared" si="15"/>
        <v>278948.81292973168</v>
      </c>
      <c r="I229" s="591">
        <f t="shared" si="15"/>
        <v>283337.692970598</v>
      </c>
      <c r="J229" s="591">
        <f t="shared" si="15"/>
        <v>255340.39811146428</v>
      </c>
      <c r="K229" s="591">
        <f t="shared" si="15"/>
        <v>232909.03937733066</v>
      </c>
      <c r="L229" s="591">
        <f t="shared" si="15"/>
        <v>243856.03677653024</v>
      </c>
      <c r="M229" s="591">
        <f t="shared" si="15"/>
        <v>230332.06750906329</v>
      </c>
      <c r="N229" s="591">
        <f t="shared" si="15"/>
        <v>216803.07157492961</v>
      </c>
      <c r="O229" s="591">
        <f t="shared" si="15"/>
        <v>225479.72234579595</v>
      </c>
      <c r="P229" s="591">
        <f t="shared" si="15"/>
        <v>3609721.7481223745</v>
      </c>
    </row>
    <row r="245" spans="4:8">
      <c r="D245" s="502" t="s">
        <v>230</v>
      </c>
      <c r="E245" s="503" t="s">
        <v>25</v>
      </c>
      <c r="F245" s="503" t="s">
        <v>26</v>
      </c>
      <c r="G245" s="503" t="s">
        <v>63</v>
      </c>
    </row>
    <row r="246" spans="4:8">
      <c r="D246" s="90" t="s">
        <v>19</v>
      </c>
      <c r="E246" s="93">
        <v>79893715</v>
      </c>
      <c r="F246" s="93">
        <f>+INGRESOS!C10+INGRESOS!C15+INGRESOS!C19+INGRESOS!C24</f>
        <v>77807785.030000016</v>
      </c>
      <c r="G246" s="93">
        <f>+E246-F246</f>
        <v>2085929.9699999839</v>
      </c>
      <c r="H246" s="127"/>
    </row>
    <row r="247" spans="4:8">
      <c r="D247" s="90" t="s">
        <v>29</v>
      </c>
      <c r="E247" s="93">
        <v>11415536</v>
      </c>
      <c r="F247" s="93">
        <f>+INGRESOS!C12+INGRESOS!C16+INGRESOS!C21+INGRESOS!C25+INGRESOS!C29</f>
        <v>10698716.539999999</v>
      </c>
      <c r="G247" s="93">
        <f t="shared" ref="G247:G249" si="16">+E247-F247</f>
        <v>716819.46000000089</v>
      </c>
      <c r="H247" s="127"/>
    </row>
    <row r="248" spans="4:8">
      <c r="D248" s="90" t="s">
        <v>78</v>
      </c>
      <c r="E248" s="93">
        <v>5535612</v>
      </c>
      <c r="F248" s="93">
        <f>+INGRESOS!C11+INGRESOS!C20+INGRESOS!C28</f>
        <v>4798104.67</v>
      </c>
      <c r="G248" s="93">
        <f t="shared" si="16"/>
        <v>737507.33000000007</v>
      </c>
      <c r="H248" s="127"/>
    </row>
    <row r="249" spans="4:8">
      <c r="D249" s="90" t="s">
        <v>77</v>
      </c>
      <c r="E249" s="93">
        <v>0</v>
      </c>
      <c r="F249" s="93">
        <f>+INGRESOS!C13+INGRESOS!C17+INGRESOS!C22+INGRESOS!C26+INGRESOS!C30+INGRESOS!C32</f>
        <v>161264.01</v>
      </c>
      <c r="G249" s="93">
        <f t="shared" si="16"/>
        <v>-161264.01</v>
      </c>
    </row>
    <row r="250" spans="4:8">
      <c r="E250" s="13"/>
      <c r="F250" s="13"/>
      <c r="G250" s="13"/>
    </row>
    <row r="251" spans="4:8">
      <c r="D251" s="139" t="s">
        <v>87</v>
      </c>
      <c r="E251" s="140">
        <f>SUM(E246:E249)</f>
        <v>96844863</v>
      </c>
      <c r="F251" s="140">
        <f t="shared" ref="F251:G251" si="17">SUM(F246:F249)</f>
        <v>93465870.25000003</v>
      </c>
      <c r="G251" s="140">
        <f t="shared" si="17"/>
        <v>3378992.7499999851</v>
      </c>
    </row>
  </sheetData>
  <mergeCells count="7">
    <mergeCell ref="B210:C210"/>
    <mergeCell ref="B216:C216"/>
    <mergeCell ref="B219:C219"/>
    <mergeCell ref="B224:C224"/>
    <mergeCell ref="A7:P7"/>
    <mergeCell ref="A63:P63"/>
    <mergeCell ref="B188:C188"/>
  </mergeCells>
  <pageMargins left="0.55118110236220474" right="0.31496062992125984" top="0.69" bottom="1" header="0.31496062992125984" footer="0.31496062992125984"/>
  <pageSetup scale="86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74"/>
  <sheetViews>
    <sheetView workbookViewId="0">
      <selection activeCell="B4" sqref="B4:F9"/>
    </sheetView>
  </sheetViews>
  <sheetFormatPr baseColWidth="10" defaultRowHeight="12.75"/>
  <cols>
    <col min="1" max="1" width="5.7109375" customWidth="1"/>
    <col min="2" max="2" width="47.7109375" customWidth="1"/>
    <col min="3" max="3" width="13.5703125" customWidth="1"/>
    <col min="4" max="4" width="13.140625" customWidth="1"/>
    <col min="5" max="5" width="12.5703125" customWidth="1"/>
    <col min="6" max="6" width="14.28515625" customWidth="1"/>
  </cols>
  <sheetData>
    <row r="1" spans="2:10">
      <c r="B1" s="135" t="s">
        <v>1003</v>
      </c>
    </row>
    <row r="2" spans="2:10">
      <c r="B2" s="135" t="str">
        <f>+ESF!C5</f>
        <v>Al 31 de diciembre de 2021</v>
      </c>
    </row>
    <row r="3" spans="2:10"/>
    <row r="4" spans="2:10" ht="25.5">
      <c r="B4" s="465" t="s">
        <v>954</v>
      </c>
      <c r="C4" s="466" t="s">
        <v>955</v>
      </c>
      <c r="D4" s="467" t="s">
        <v>956</v>
      </c>
      <c r="E4" s="467" t="s">
        <v>957</v>
      </c>
      <c r="F4" s="468" t="s">
        <v>958</v>
      </c>
    </row>
    <row r="5" spans="2:10">
      <c r="B5" s="463" t="s">
        <v>194</v>
      </c>
      <c r="C5" s="469">
        <f>+BALANCE!B30</f>
        <v>778410289.61000001</v>
      </c>
      <c r="D5" s="470" t="s">
        <v>959</v>
      </c>
      <c r="E5" s="470" t="s">
        <v>959</v>
      </c>
      <c r="F5" s="471" t="s">
        <v>959</v>
      </c>
      <c r="I5" s="510">
        <f>SUM(D6:D9)-EGRESOS!C60</f>
        <v>0</v>
      </c>
      <c r="J5" s="73" t="s">
        <v>1015</v>
      </c>
    </row>
    <row r="6" spans="2:10">
      <c r="B6" s="79" t="s">
        <v>195</v>
      </c>
      <c r="C6" s="6">
        <f>+BALANCE!B31</f>
        <v>226624924.62</v>
      </c>
      <c r="D6" s="6">
        <v>4179430.87</v>
      </c>
      <c r="E6" s="6">
        <v>32411225.91</v>
      </c>
      <c r="F6" s="472">
        <v>3.3000000000000002E-2</v>
      </c>
      <c r="I6" s="510">
        <f>SUM(E6:E9)+BALANCE!B37+BALANCE!B38</f>
        <v>0</v>
      </c>
      <c r="J6" s="73" t="s">
        <v>1016</v>
      </c>
    </row>
    <row r="7" spans="2:10">
      <c r="B7" s="79" t="s">
        <v>196</v>
      </c>
      <c r="C7" s="6">
        <f>+BALANCE!B33</f>
        <v>3562906.59</v>
      </c>
      <c r="D7" s="6">
        <f>34758.84+382727.23</f>
        <v>417486.06999999995</v>
      </c>
      <c r="E7" s="6">
        <f>1271430.85+1597581.15</f>
        <v>2869012</v>
      </c>
      <c r="F7" s="473" t="s">
        <v>960</v>
      </c>
    </row>
    <row r="8" spans="2:10">
      <c r="B8" s="79" t="s">
        <v>84</v>
      </c>
      <c r="C8" s="6">
        <f>+BALANCE!B34</f>
        <v>4309336.95</v>
      </c>
      <c r="D8" s="6">
        <v>383278.03</v>
      </c>
      <c r="E8" s="6">
        <v>2905588.77</v>
      </c>
      <c r="F8" s="472">
        <v>0.2</v>
      </c>
    </row>
    <row r="9" spans="2:10">
      <c r="B9" s="464" t="s">
        <v>197</v>
      </c>
      <c r="C9" s="77">
        <f>+BALANCE!B35</f>
        <v>4493838.5199999996</v>
      </c>
      <c r="D9" s="77">
        <v>257684.04</v>
      </c>
      <c r="E9" s="77">
        <v>2576568.9</v>
      </c>
      <c r="F9" s="474">
        <v>0.1</v>
      </c>
    </row>
    <row r="11" spans="2:10">
      <c r="B11" s="465"/>
      <c r="C11" s="481">
        <v>2021</v>
      </c>
      <c r="D11" s="482">
        <v>2020</v>
      </c>
    </row>
    <row r="12" spans="2:10">
      <c r="B12" s="475" t="s">
        <v>962</v>
      </c>
      <c r="C12" s="469">
        <f>+BALANCE!B12</f>
        <v>11000</v>
      </c>
      <c r="D12" s="476">
        <v>11000</v>
      </c>
    </row>
    <row r="13" spans="2:10">
      <c r="B13" s="16" t="s">
        <v>963</v>
      </c>
      <c r="C13" s="6">
        <f>+BALANCE!B13</f>
        <v>117340822.77</v>
      </c>
      <c r="D13" s="129">
        <v>27566078.359999999</v>
      </c>
    </row>
    <row r="14" spans="2:10">
      <c r="B14" s="76" t="s">
        <v>964</v>
      </c>
      <c r="C14" s="77">
        <f>+BALANCE!B14</f>
        <v>86911032.689999998</v>
      </c>
      <c r="D14" s="477">
        <v>164855843.05000001</v>
      </c>
    </row>
    <row r="15" spans="2:10">
      <c r="B15" s="478" t="s">
        <v>965</v>
      </c>
      <c r="C15" s="479">
        <f>SUM(C12:C14)</f>
        <v>204262855.45999998</v>
      </c>
      <c r="D15" s="480">
        <f>SUM(D12:D14)</f>
        <v>192432921.41000003</v>
      </c>
    </row>
    <row r="17" spans="2:6">
      <c r="B17" s="465"/>
      <c r="C17" s="481">
        <v>2021</v>
      </c>
      <c r="D17" s="482">
        <v>2020</v>
      </c>
    </row>
    <row r="18" spans="2:6">
      <c r="B18" s="463" t="s">
        <v>966</v>
      </c>
      <c r="C18" s="469">
        <f>+EA!I52+EA!I39</f>
        <v>54102509.310000017</v>
      </c>
      <c r="D18" s="476">
        <v>86861853.510000005</v>
      </c>
    </row>
    <row r="19" spans="2:6">
      <c r="B19" s="79" t="s">
        <v>967</v>
      </c>
      <c r="C19" s="6">
        <f>-EVHP!F42</f>
        <v>0</v>
      </c>
      <c r="D19" s="129">
        <v>734296.62999999977</v>
      </c>
      <c r="F19" s="73" t="s">
        <v>4071</v>
      </c>
    </row>
    <row r="20" spans="2:6">
      <c r="B20" s="79" t="s">
        <v>968</v>
      </c>
      <c r="C20" s="6">
        <f>+EA!I40</f>
        <v>5237879.01</v>
      </c>
      <c r="D20" s="129">
        <v>3764489.75</v>
      </c>
    </row>
    <row r="21" spans="2:6">
      <c r="B21" s="79" t="s">
        <v>878</v>
      </c>
      <c r="C21" s="6"/>
      <c r="D21" s="129"/>
    </row>
    <row r="22" spans="2:6">
      <c r="B22" s="79" t="s">
        <v>970</v>
      </c>
      <c r="C22" s="6">
        <f>+EGRESOS!C49</f>
        <v>0</v>
      </c>
      <c r="D22" s="129">
        <v>0</v>
      </c>
    </row>
    <row r="23" spans="2:6">
      <c r="B23" s="79" t="s">
        <v>969</v>
      </c>
      <c r="C23" s="6"/>
      <c r="D23" s="129"/>
    </row>
    <row r="24" spans="2:6">
      <c r="B24" s="79" t="s">
        <v>1017</v>
      </c>
      <c r="C24" s="6">
        <f>+ECSF!E18+ECSF!E19-ECSF!D18-ECSF!D19+ECSF!E23-ECSF!D23+ECSF!E22</f>
        <v>-17443639.699999996</v>
      </c>
      <c r="D24" s="129">
        <v>13830275.229999999</v>
      </c>
    </row>
    <row r="25" spans="2:6">
      <c r="B25" s="79" t="s">
        <v>972</v>
      </c>
      <c r="C25" s="6">
        <f>+EGRESOS!C61</f>
        <v>139597.47</v>
      </c>
      <c r="D25" s="129">
        <v>337464.09</v>
      </c>
    </row>
    <row r="26" spans="2:6">
      <c r="B26" s="464" t="s">
        <v>973</v>
      </c>
      <c r="C26" s="77">
        <f>+EGRESOS!C62</f>
        <v>114333.54</v>
      </c>
      <c r="D26" s="477">
        <v>52496.83</v>
      </c>
    </row>
    <row r="27" spans="2:6">
      <c r="B27" s="485" t="s">
        <v>971</v>
      </c>
      <c r="C27" s="486">
        <f>+C18-C19-C20-C21-C22-C23-C24-C25-C26</f>
        <v>66054338.990000017</v>
      </c>
      <c r="D27" s="480">
        <f>+D18-D19-D20-D21-D22-D23-D24-D25-D26</f>
        <v>68142830.980000004</v>
      </c>
    </row>
    <row r="29" spans="2:6">
      <c r="B29" s="488"/>
      <c r="C29" s="490">
        <f>+EFE!G47</f>
        <v>66054338.990000024</v>
      </c>
      <c r="D29" s="490">
        <f>+EFE!H47</f>
        <v>68142830.980000004</v>
      </c>
    </row>
    <row r="30" spans="2:6">
      <c r="B30" s="489" t="s">
        <v>974</v>
      </c>
      <c r="C30" s="130">
        <f>+C27-C29</f>
        <v>0</v>
      </c>
      <c r="D30" s="130">
        <f>+D27-D29</f>
        <v>0</v>
      </c>
    </row>
    <row r="31" spans="2:6">
      <c r="C31" s="483"/>
      <c r="D31" s="6"/>
    </row>
    <row r="33" spans="1:4">
      <c r="A33" s="1600" t="s">
        <v>975</v>
      </c>
      <c r="B33" s="1601"/>
      <c r="C33" s="1601"/>
      <c r="D33" s="1602"/>
    </row>
    <row r="35" spans="1:4">
      <c r="A35" s="494" t="s">
        <v>976</v>
      </c>
      <c r="B35" s="487"/>
      <c r="C35" s="6"/>
      <c r="D35" s="495">
        <f>+EA!D11+EA!D26</f>
        <v>106238739.84000002</v>
      </c>
    </row>
    <row r="36" spans="1:4">
      <c r="A36" s="73"/>
      <c r="C36" s="6"/>
      <c r="D36" s="6"/>
    </row>
    <row r="37" spans="1:4">
      <c r="A37" s="485" t="s">
        <v>977</v>
      </c>
      <c r="B37" s="484"/>
      <c r="C37" s="493"/>
      <c r="D37" s="493">
        <f>+C38+C39</f>
        <v>47743.919999999925</v>
      </c>
    </row>
    <row r="38" spans="1:4">
      <c r="A38" s="478"/>
      <c r="B38" s="491" t="s">
        <v>978</v>
      </c>
      <c r="C38" s="477">
        <f>+EA!D25-EA!D26</f>
        <v>47743.919999999925</v>
      </c>
      <c r="D38" s="6"/>
    </row>
    <row r="39" spans="1:4">
      <c r="A39" s="478"/>
      <c r="B39" s="491" t="s">
        <v>1042</v>
      </c>
      <c r="C39" s="477">
        <f>+EA!D21</f>
        <v>0</v>
      </c>
      <c r="D39" s="6"/>
    </row>
    <row r="40" spans="1:4">
      <c r="C40" s="6"/>
      <c r="D40" s="6"/>
    </row>
    <row r="41" spans="1:4">
      <c r="A41" s="485" t="s">
        <v>979</v>
      </c>
      <c r="B41" s="484"/>
      <c r="C41" s="493"/>
      <c r="D41" s="493">
        <f>SUM(C42:C43)</f>
        <v>0</v>
      </c>
    </row>
    <row r="42" spans="1:4">
      <c r="A42" s="478"/>
      <c r="B42" s="491" t="s">
        <v>980</v>
      </c>
      <c r="C42" s="493"/>
      <c r="D42" s="6"/>
    </row>
    <row r="43" spans="1:4">
      <c r="A43" s="478"/>
      <c r="B43" s="491" t="s">
        <v>981</v>
      </c>
      <c r="C43" s="493"/>
      <c r="D43" s="6"/>
    </row>
    <row r="44" spans="1:4">
      <c r="C44" s="6"/>
      <c r="D44" s="6"/>
    </row>
    <row r="45" spans="1:4">
      <c r="A45" s="494" t="s">
        <v>982</v>
      </c>
      <c r="B45" s="487"/>
      <c r="C45" s="6"/>
      <c r="D45" s="495">
        <f>+D35+D37-D41</f>
        <v>106286483.76000002</v>
      </c>
    </row>
    <row r="49" spans="1:5">
      <c r="A49" s="1600" t="s">
        <v>983</v>
      </c>
      <c r="B49" s="1601"/>
      <c r="C49" s="1601"/>
      <c r="D49" s="1602"/>
    </row>
    <row r="51" spans="1:5">
      <c r="A51" s="494" t="s">
        <v>999</v>
      </c>
      <c r="B51" s="487"/>
      <c r="D51" s="496">
        <f>+EA!I11+EA!I17+EA!I21</f>
        <v>52183974.449999996</v>
      </c>
      <c r="E51" s="730"/>
    </row>
    <row r="52" spans="1:5">
      <c r="E52" s="730"/>
    </row>
    <row r="53" spans="1:5">
      <c r="A53" s="485" t="s">
        <v>984</v>
      </c>
      <c r="B53" s="484"/>
      <c r="C53" s="126"/>
      <c r="D53" s="126">
        <f>+C54</f>
        <v>0</v>
      </c>
      <c r="E53" s="730"/>
    </row>
    <row r="54" spans="1:5">
      <c r="A54" s="478"/>
      <c r="B54" s="491" t="s">
        <v>985</v>
      </c>
      <c r="C54" s="126"/>
      <c r="E54" s="730"/>
    </row>
    <row r="55" spans="1:5">
      <c r="E55" s="730"/>
    </row>
    <row r="56" spans="1:5">
      <c r="A56" s="485" t="s">
        <v>1000</v>
      </c>
      <c r="B56" s="484"/>
      <c r="C56" s="126"/>
      <c r="D56" s="492">
        <f>SUM(C57:C60)</f>
        <v>5491810.0199999996</v>
      </c>
      <c r="E56" s="730"/>
    </row>
    <row r="57" spans="1:5">
      <c r="A57" s="478"/>
      <c r="B57" s="491" t="s">
        <v>986</v>
      </c>
      <c r="C57" s="492">
        <f>+EA!I40</f>
        <v>5237879.01</v>
      </c>
      <c r="E57" s="730"/>
    </row>
    <row r="58" spans="1:5">
      <c r="A58" s="478"/>
      <c r="B58" s="491" t="s">
        <v>635</v>
      </c>
      <c r="C58" s="492">
        <f>+EA!I24</f>
        <v>0</v>
      </c>
      <c r="E58" s="730"/>
    </row>
    <row r="59" spans="1:5">
      <c r="A59" s="478"/>
      <c r="B59" s="491" t="s">
        <v>988</v>
      </c>
      <c r="C59" s="492">
        <f>+EA!I19</f>
        <v>0</v>
      </c>
      <c r="E59" s="730"/>
    </row>
    <row r="60" spans="1:5">
      <c r="A60" s="478"/>
      <c r="B60" s="491" t="s">
        <v>987</v>
      </c>
      <c r="C60" s="492">
        <f>+EA!I45</f>
        <v>253931.00999999978</v>
      </c>
      <c r="E60" s="730"/>
    </row>
    <row r="61" spans="1:5">
      <c r="E61" s="730"/>
    </row>
    <row r="62" spans="1:5">
      <c r="A62" s="494" t="s">
        <v>989</v>
      </c>
      <c r="B62" s="487"/>
      <c r="D62" s="496">
        <f>+D51-D53+D56</f>
        <v>57675784.469999999</v>
      </c>
      <c r="E62" s="730"/>
    </row>
    <row r="65" spans="2:6">
      <c r="C65" s="504" t="s">
        <v>230</v>
      </c>
      <c r="D65" s="504" t="s">
        <v>1001</v>
      </c>
    </row>
    <row r="66" spans="2:6">
      <c r="C66" s="126" t="s">
        <v>990</v>
      </c>
      <c r="D66" s="492">
        <f>+ESF!I22</f>
        <v>2718106.92</v>
      </c>
    </row>
    <row r="67" spans="2:6">
      <c r="C67" s="126" t="s">
        <v>991</v>
      </c>
      <c r="D67" s="492">
        <f>+EA!D11</f>
        <v>98034207.450000018</v>
      </c>
    </row>
    <row r="68" spans="2:6">
      <c r="C68" s="126" t="s">
        <v>992</v>
      </c>
      <c r="D68" s="497">
        <f>+D66/D67</f>
        <v>2.7726106944724421E-2</v>
      </c>
    </row>
    <row r="70" spans="2:6" ht="25.5">
      <c r="B70" s="498" t="s">
        <v>990</v>
      </c>
      <c r="C70" s="499" t="s">
        <v>950</v>
      </c>
      <c r="D70" s="500" t="s">
        <v>993</v>
      </c>
      <c r="E70" s="499" t="s">
        <v>994</v>
      </c>
      <c r="F70" s="499" t="s">
        <v>995</v>
      </c>
    </row>
    <row r="71" spans="2:6">
      <c r="B71" s="126"/>
      <c r="C71" s="493"/>
      <c r="D71" s="493"/>
      <c r="E71" s="493"/>
      <c r="F71" s="501"/>
    </row>
    <row r="72" spans="2:6">
      <c r="B72" s="126" t="s">
        <v>996</v>
      </c>
      <c r="C72" s="493">
        <f>+BALANCE!E14</f>
        <v>1694817.41</v>
      </c>
      <c r="D72" s="493">
        <v>0</v>
      </c>
      <c r="E72" s="493">
        <v>0</v>
      </c>
      <c r="F72" s="501" t="s">
        <v>997</v>
      </c>
    </row>
    <row r="73" spans="2:6">
      <c r="B73" s="126" t="s">
        <v>998</v>
      </c>
      <c r="C73" s="493">
        <f>+D66-C71-C72</f>
        <v>1023289.51</v>
      </c>
      <c r="D73" s="493">
        <v>0</v>
      </c>
      <c r="E73" s="493">
        <v>0</v>
      </c>
      <c r="F73" s="501" t="s">
        <v>997</v>
      </c>
    </row>
    <row r="74" spans="2:6">
      <c r="B74" s="126" t="s">
        <v>87</v>
      </c>
      <c r="C74" s="493">
        <f>SUM(C71:C73)</f>
        <v>2718106.92</v>
      </c>
      <c r="D74" s="493"/>
      <c r="E74" s="493"/>
      <c r="F74" s="126"/>
    </row>
  </sheetData>
  <mergeCells count="2">
    <mergeCell ref="A33:D33"/>
    <mergeCell ref="A49:D49"/>
  </mergeCells>
  <pageMargins left="0.7" right="0.7" top="0.75" bottom="0.75" header="0.3" footer="0.3"/>
  <pageSetup orientation="portrait" r:id="rId1"/>
  <ignoredErrors>
    <ignoredError sqref="D15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K64"/>
  <sheetViews>
    <sheetView topLeftCell="B1" zoomScale="90" zoomScaleNormal="90" workbookViewId="0">
      <selection activeCell="B10" sqref="B10:C10"/>
    </sheetView>
  </sheetViews>
  <sheetFormatPr baseColWidth="10" defaultRowHeight="12"/>
  <cols>
    <col min="1" max="1" width="4.28515625" style="157" customWidth="1"/>
    <col min="2" max="2" width="24.28515625" style="157" customWidth="1"/>
    <col min="3" max="3" width="23.7109375" style="157" customWidth="1"/>
    <col min="4" max="5" width="20.5703125" style="157" customWidth="1"/>
    <col min="6" max="6" width="7.7109375" style="157" customWidth="1"/>
    <col min="7" max="7" width="27.140625" style="157" customWidth="1"/>
    <col min="8" max="8" width="33.85546875" style="157" customWidth="1"/>
    <col min="9" max="10" width="20.5703125" style="157" customWidth="1"/>
    <col min="11" max="11" width="4.28515625" style="157" customWidth="1"/>
    <col min="12" max="16384" width="11.42578125" style="157"/>
  </cols>
  <sheetData>
    <row r="1" spans="1:11">
      <c r="B1" s="208"/>
      <c r="C1" s="1604" t="s">
        <v>2987</v>
      </c>
      <c r="D1" s="1604"/>
      <c r="E1" s="1604"/>
      <c r="F1" s="1604"/>
      <c r="G1" s="1604"/>
      <c r="H1" s="1604"/>
      <c r="I1" s="1604"/>
      <c r="J1" s="208"/>
      <c r="K1" s="208"/>
    </row>
    <row r="2" spans="1:11">
      <c r="B2" s="209"/>
      <c r="C2" s="1604" t="s">
        <v>610</v>
      </c>
      <c r="D2" s="1604"/>
      <c r="E2" s="1604"/>
      <c r="F2" s="1604"/>
      <c r="G2" s="1604"/>
      <c r="H2" s="1604"/>
      <c r="I2" s="1604"/>
      <c r="J2" s="209"/>
      <c r="K2" s="209"/>
    </row>
    <row r="3" spans="1:11">
      <c r="B3" s="450"/>
      <c r="C3" s="1604" t="s">
        <v>7076</v>
      </c>
      <c r="D3" s="1604"/>
      <c r="E3" s="1604"/>
      <c r="F3" s="1604"/>
      <c r="G3" s="1604"/>
      <c r="H3" s="1604"/>
      <c r="I3" s="1604"/>
      <c r="J3" s="209"/>
      <c r="K3" s="209"/>
    </row>
    <row r="4" spans="1:11">
      <c r="B4" s="450"/>
      <c r="C4" s="1604" t="s">
        <v>5630</v>
      </c>
      <c r="D4" s="1604"/>
      <c r="E4" s="1604"/>
      <c r="F4" s="1604"/>
      <c r="G4" s="1604"/>
      <c r="H4" s="1604"/>
      <c r="I4" s="1604"/>
      <c r="J4" s="209"/>
      <c r="K4" s="209"/>
    </row>
    <row r="5" spans="1:11" ht="6" customHeight="1">
      <c r="A5" s="210"/>
      <c r="B5" s="210"/>
      <c r="C5" s="212"/>
      <c r="D5" s="212"/>
      <c r="E5" s="212"/>
      <c r="F5" s="212"/>
      <c r="G5" s="212"/>
      <c r="H5" s="212"/>
    </row>
    <row r="6" spans="1:11" ht="3" customHeight="1">
      <c r="A6" s="210"/>
      <c r="B6" s="211"/>
      <c r="C6" s="211"/>
      <c r="D6" s="211"/>
      <c r="E6" s="211"/>
      <c r="F6" s="212"/>
    </row>
    <row r="7" spans="1:11" ht="3" customHeight="1">
      <c r="A7" s="213"/>
      <c r="B7" s="213"/>
      <c r="C7" s="213"/>
      <c r="D7" s="214"/>
      <c r="E7" s="214"/>
      <c r="F7" s="215"/>
    </row>
    <row r="8" spans="1:11" s="435" customFormat="1" ht="20.100000000000001" customHeight="1">
      <c r="A8" s="629"/>
      <c r="B8" s="1603" t="s">
        <v>230</v>
      </c>
      <c r="C8" s="1603"/>
      <c r="D8" s="660">
        <v>2021</v>
      </c>
      <c r="E8" s="660">
        <v>2020</v>
      </c>
      <c r="F8" s="630"/>
      <c r="G8" s="1603" t="s">
        <v>230</v>
      </c>
      <c r="H8" s="1603"/>
      <c r="I8" s="660">
        <v>2021</v>
      </c>
      <c r="J8" s="660">
        <v>2020</v>
      </c>
      <c r="K8" s="631"/>
    </row>
    <row r="9" spans="1:11" ht="3" customHeight="1">
      <c r="A9" s="216"/>
      <c r="B9" s="217"/>
      <c r="C9" s="217"/>
      <c r="D9" s="218"/>
      <c r="E9" s="218"/>
      <c r="K9" s="167"/>
    </row>
    <row r="10" spans="1:11">
      <c r="A10" s="436"/>
      <c r="B10" s="1606" t="s">
        <v>611</v>
      </c>
      <c r="C10" s="1606"/>
      <c r="D10" s="173"/>
      <c r="E10" s="173"/>
      <c r="F10" s="156"/>
      <c r="G10" s="1606" t="s">
        <v>612</v>
      </c>
      <c r="H10" s="1606"/>
      <c r="I10" s="173"/>
      <c r="J10" s="173"/>
      <c r="K10" s="167"/>
    </row>
    <row r="11" spans="1:11">
      <c r="A11" s="223"/>
      <c r="B11" s="1607" t="s">
        <v>613</v>
      </c>
      <c r="C11" s="1607"/>
      <c r="D11" s="174">
        <f>SUM(D12:D19)</f>
        <v>98034207.450000018</v>
      </c>
      <c r="E11" s="174">
        <f>SUM(E12:E19)</f>
        <v>91363023.789999992</v>
      </c>
      <c r="F11" s="156"/>
      <c r="G11" s="1606" t="s">
        <v>614</v>
      </c>
      <c r="H11" s="1606"/>
      <c r="I11" s="174">
        <f>SUM(I12:I14)</f>
        <v>51389759.569999993</v>
      </c>
      <c r="J11" s="174">
        <f>SUM(J12:J14)</f>
        <v>51703099.219999999</v>
      </c>
      <c r="K11" s="246"/>
    </row>
    <row r="12" spans="1:11">
      <c r="A12" s="221"/>
      <c r="B12" s="1605" t="s">
        <v>615</v>
      </c>
      <c r="C12" s="1605"/>
      <c r="D12" s="247">
        <v>0</v>
      </c>
      <c r="E12" s="247">
        <v>0</v>
      </c>
      <c r="F12" s="156"/>
      <c r="G12" s="1605" t="s">
        <v>616</v>
      </c>
      <c r="H12" s="1605"/>
      <c r="I12" s="247">
        <f>+EGRESOS!C8</f>
        <v>15074778.560000001</v>
      </c>
      <c r="J12" s="247">
        <v>14762712.049999997</v>
      </c>
      <c r="K12" s="246"/>
    </row>
    <row r="13" spans="1:11">
      <c r="A13" s="221"/>
      <c r="B13" s="1605" t="s">
        <v>617</v>
      </c>
      <c r="C13" s="1605"/>
      <c r="D13" s="247">
        <v>0</v>
      </c>
      <c r="E13" s="247">
        <v>0</v>
      </c>
      <c r="F13" s="156"/>
      <c r="G13" s="1605" t="s">
        <v>167</v>
      </c>
      <c r="H13" s="1605"/>
      <c r="I13" s="247">
        <f>+EGRESOS!C9+EGRESOS!C17+EGRESOS!C21+EGRESOS!C25+EGRESOS!C32+EGRESOS!C36</f>
        <v>862793.71</v>
      </c>
      <c r="J13" s="247">
        <v>858269.25</v>
      </c>
      <c r="K13" s="246"/>
    </row>
    <row r="14" spans="1:11" ht="12" customHeight="1">
      <c r="A14" s="221"/>
      <c r="B14" s="1605" t="s">
        <v>618</v>
      </c>
      <c r="C14" s="1605"/>
      <c r="D14" s="247">
        <v>0</v>
      </c>
      <c r="E14" s="247">
        <v>0</v>
      </c>
      <c r="F14" s="156"/>
      <c r="G14" s="1605" t="s">
        <v>168</v>
      </c>
      <c r="H14" s="1605"/>
      <c r="I14" s="247">
        <f>+EGRESOS!C10+EGRESOS!C18+EGRESOS!C22+EGRESOS!C26+EGRESOS!C29+EGRESOS!C33+EGRESOS!C37+EGRESOS!C40</f>
        <v>35452187.299999997</v>
      </c>
      <c r="J14" s="247">
        <v>36082117.920000002</v>
      </c>
      <c r="K14" s="246"/>
    </row>
    <row r="15" spans="1:11">
      <c r="A15" s="221"/>
      <c r="B15" s="1605" t="s">
        <v>619</v>
      </c>
      <c r="C15" s="1605"/>
      <c r="D15" s="247">
        <v>0</v>
      </c>
      <c r="E15" s="247">
        <v>0</v>
      </c>
      <c r="F15" s="156"/>
      <c r="G15" s="172"/>
      <c r="H15" s="170"/>
      <c r="I15" s="437"/>
      <c r="J15" s="437"/>
      <c r="K15" s="246"/>
    </row>
    <row r="16" spans="1:11">
      <c r="A16" s="221"/>
      <c r="B16" s="1605" t="s">
        <v>620</v>
      </c>
      <c r="C16" s="1605"/>
      <c r="D16" s="247">
        <v>0</v>
      </c>
      <c r="E16" s="247">
        <v>0</v>
      </c>
      <c r="F16" s="156"/>
      <c r="G16" s="1606" t="s">
        <v>621</v>
      </c>
      <c r="H16" s="1606"/>
      <c r="I16" s="174">
        <f>SUM(I17:I25)</f>
        <v>794214.88000000012</v>
      </c>
      <c r="J16" s="174">
        <f>SUM(J17:J25)</f>
        <v>658567.99</v>
      </c>
      <c r="K16" s="246"/>
    </row>
    <row r="17" spans="1:11">
      <c r="A17" s="221"/>
      <c r="B17" s="1605" t="s">
        <v>622</v>
      </c>
      <c r="C17" s="1605"/>
      <c r="D17" s="247">
        <v>0</v>
      </c>
      <c r="E17" s="247">
        <v>0</v>
      </c>
      <c r="F17" s="156"/>
      <c r="G17" s="1605" t="s">
        <v>623</v>
      </c>
      <c r="H17" s="1605"/>
      <c r="I17" s="247">
        <f>+'VARIACIONES EGRESOS'!R55</f>
        <v>149551.82</v>
      </c>
      <c r="J17" s="247">
        <v>116363.09</v>
      </c>
      <c r="K17" s="246"/>
    </row>
    <row r="18" spans="1:11">
      <c r="A18" s="221"/>
      <c r="B18" s="1605" t="s">
        <v>624</v>
      </c>
      <c r="C18" s="1605"/>
      <c r="D18" s="247">
        <f>+'PPTO RESULTADOS'!C11+'PPTO RESULTADOS'!C12+'PPTO RESULTADOS'!C13</f>
        <v>98034207.450000018</v>
      </c>
      <c r="E18" s="247">
        <v>91363023.789999992</v>
      </c>
      <c r="F18" s="156"/>
      <c r="G18" s="1605" t="s">
        <v>625</v>
      </c>
      <c r="H18" s="1605"/>
      <c r="I18" s="247">
        <v>0</v>
      </c>
      <c r="J18" s="247">
        <v>0</v>
      </c>
      <c r="K18" s="246"/>
    </row>
    <row r="19" spans="1:11" ht="52.5" customHeight="1">
      <c r="A19" s="221"/>
      <c r="B19" s="1608" t="s">
        <v>626</v>
      </c>
      <c r="C19" s="1608"/>
      <c r="D19" s="247">
        <v>0</v>
      </c>
      <c r="E19" s="247">
        <v>0</v>
      </c>
      <c r="F19" s="156"/>
      <c r="G19" s="1605" t="s">
        <v>627</v>
      </c>
      <c r="H19" s="1605"/>
      <c r="I19" s="247">
        <f>+EGRESOS!C56</f>
        <v>0</v>
      </c>
      <c r="J19" s="247">
        <v>0</v>
      </c>
      <c r="K19" s="246"/>
    </row>
    <row r="20" spans="1:11">
      <c r="A20" s="223"/>
      <c r="B20" s="172"/>
      <c r="C20" s="170"/>
      <c r="D20" s="437"/>
      <c r="E20" s="437"/>
      <c r="F20" s="156"/>
      <c r="G20" s="1605" t="s">
        <v>628</v>
      </c>
      <c r="H20" s="1605"/>
      <c r="I20" s="247">
        <v>0</v>
      </c>
      <c r="J20" s="247">
        <v>0</v>
      </c>
      <c r="K20" s="246"/>
    </row>
    <row r="21" spans="1:11" ht="29.25" customHeight="1">
      <c r="A21" s="223"/>
      <c r="B21" s="1607" t="s">
        <v>629</v>
      </c>
      <c r="C21" s="1607"/>
      <c r="D21" s="174">
        <f>SUM(D22:D23)</f>
        <v>0</v>
      </c>
      <c r="E21" s="174">
        <f>SUM(E22:E23)</f>
        <v>36623839.039999999</v>
      </c>
      <c r="F21" s="156"/>
      <c r="G21" s="1605" t="s">
        <v>630</v>
      </c>
      <c r="H21" s="1605"/>
      <c r="I21" s="247">
        <f>+'VARIACIONES EGRESOS'!R56+'VARIACIONES EGRESOS'!R57</f>
        <v>644663.06000000006</v>
      </c>
      <c r="J21" s="247">
        <v>542204.9</v>
      </c>
      <c r="K21" s="246"/>
    </row>
    <row r="22" spans="1:11">
      <c r="A22" s="221"/>
      <c r="B22" s="1605" t="s">
        <v>631</v>
      </c>
      <c r="C22" s="1605"/>
      <c r="D22" s="177">
        <v>0</v>
      </c>
      <c r="E22" s="177">
        <v>0</v>
      </c>
      <c r="F22" s="156"/>
      <c r="G22" s="1605" t="s">
        <v>632</v>
      </c>
      <c r="H22" s="1605"/>
      <c r="I22" s="247">
        <v>0</v>
      </c>
      <c r="J22" s="247">
        <v>0</v>
      </c>
      <c r="K22" s="246"/>
    </row>
    <row r="23" spans="1:11">
      <c r="A23" s="221"/>
      <c r="B23" s="1605" t="s">
        <v>633</v>
      </c>
      <c r="C23" s="1605"/>
      <c r="D23" s="247">
        <f>+INGRESOS!C63</f>
        <v>0</v>
      </c>
      <c r="E23" s="247">
        <v>36623839.039999999</v>
      </c>
      <c r="F23" s="156"/>
      <c r="G23" s="1605" t="s">
        <v>634</v>
      </c>
      <c r="H23" s="1605"/>
      <c r="I23" s="247">
        <v>0</v>
      </c>
      <c r="J23" s="247">
        <v>0</v>
      </c>
      <c r="K23" s="246"/>
    </row>
    <row r="24" spans="1:11">
      <c r="A24" s="223"/>
      <c r="B24" s="172"/>
      <c r="C24" s="170"/>
      <c r="D24" s="437"/>
      <c r="E24" s="437"/>
      <c r="F24" s="156"/>
      <c r="G24" s="1605" t="s">
        <v>635</v>
      </c>
      <c r="H24" s="1605"/>
      <c r="I24" s="247">
        <v>0</v>
      </c>
      <c r="J24" s="247">
        <v>0</v>
      </c>
      <c r="K24" s="246"/>
    </row>
    <row r="25" spans="1:11">
      <c r="A25" s="221"/>
      <c r="B25" s="1607" t="s">
        <v>636</v>
      </c>
      <c r="C25" s="1607"/>
      <c r="D25" s="174">
        <f>SUM(D26:D30)</f>
        <v>8252276.3100000005</v>
      </c>
      <c r="E25" s="174">
        <f>SUM(E26:E30)</f>
        <v>11236657.890000002</v>
      </c>
      <c r="F25" s="156"/>
      <c r="G25" s="1605" t="s">
        <v>637</v>
      </c>
      <c r="H25" s="1605"/>
      <c r="I25" s="247">
        <v>0</v>
      </c>
      <c r="J25" s="247">
        <v>0</v>
      </c>
      <c r="K25" s="246"/>
    </row>
    <row r="26" spans="1:11">
      <c r="A26" s="221"/>
      <c r="B26" s="1605" t="s">
        <v>638</v>
      </c>
      <c r="C26" s="1605"/>
      <c r="D26" s="247">
        <f>+INGRESOS!C51+INGRESOS!C52+INGRESOS!C54</f>
        <v>8204532.3900000006</v>
      </c>
      <c r="E26" s="247">
        <v>11213569.460000001</v>
      </c>
      <c r="F26" s="156"/>
      <c r="G26" s="172"/>
      <c r="H26" s="170"/>
      <c r="I26" s="437"/>
      <c r="J26" s="437"/>
      <c r="K26" s="246"/>
    </row>
    <row r="27" spans="1:11">
      <c r="A27" s="221"/>
      <c r="B27" s="1605" t="s">
        <v>639</v>
      </c>
      <c r="C27" s="1605"/>
      <c r="D27" s="247">
        <v>0</v>
      </c>
      <c r="E27" s="247">
        <v>0</v>
      </c>
      <c r="F27" s="156"/>
      <c r="G27" s="1607" t="s">
        <v>631</v>
      </c>
      <c r="H27" s="1607"/>
      <c r="I27" s="174">
        <f>SUM(I28:I30)</f>
        <v>0</v>
      </c>
      <c r="J27" s="174">
        <f>SUM(J28:J30)</f>
        <v>0</v>
      </c>
      <c r="K27" s="246"/>
    </row>
    <row r="28" spans="1:11" ht="26.25" customHeight="1">
      <c r="A28" s="221"/>
      <c r="B28" s="1608" t="s">
        <v>640</v>
      </c>
      <c r="C28" s="1608"/>
      <c r="D28" s="247">
        <v>0</v>
      </c>
      <c r="E28" s="247">
        <v>0</v>
      </c>
      <c r="F28" s="156"/>
      <c r="G28" s="1605" t="s">
        <v>641</v>
      </c>
      <c r="H28" s="1605"/>
      <c r="I28" s="247">
        <v>0</v>
      </c>
      <c r="J28" s="247">
        <v>0</v>
      </c>
      <c r="K28" s="246"/>
    </row>
    <row r="29" spans="1:11">
      <c r="A29" s="221"/>
      <c r="B29" s="1605" t="s">
        <v>642</v>
      </c>
      <c r="C29" s="1605"/>
      <c r="D29" s="247">
        <v>0</v>
      </c>
      <c r="E29" s="247">
        <v>0</v>
      </c>
      <c r="F29" s="156"/>
      <c r="G29" s="1605" t="s">
        <v>643</v>
      </c>
      <c r="H29" s="1605"/>
      <c r="I29" s="247">
        <v>0</v>
      </c>
      <c r="J29" s="247">
        <v>0</v>
      </c>
      <c r="K29" s="246"/>
    </row>
    <row r="30" spans="1:11">
      <c r="A30" s="221"/>
      <c r="B30" s="1605" t="s">
        <v>644</v>
      </c>
      <c r="C30" s="1605"/>
      <c r="D30" s="247">
        <f>+INGRESOS!C57-EA!D26</f>
        <v>47743.919999999925</v>
      </c>
      <c r="E30" s="247">
        <v>23088.430000001565</v>
      </c>
      <c r="F30" s="156"/>
      <c r="G30" s="1605" t="s">
        <v>645</v>
      </c>
      <c r="H30" s="1605"/>
      <c r="I30" s="247">
        <v>0</v>
      </c>
      <c r="J30" s="247">
        <v>0</v>
      </c>
      <c r="K30" s="246"/>
    </row>
    <row r="31" spans="1:11">
      <c r="A31" s="223"/>
      <c r="B31" s="172"/>
      <c r="C31" s="176"/>
      <c r="D31" s="173"/>
      <c r="E31" s="173"/>
      <c r="F31" s="156"/>
      <c r="G31" s="172"/>
      <c r="H31" s="170"/>
      <c r="I31" s="437"/>
      <c r="J31" s="437"/>
      <c r="K31" s="246"/>
    </row>
    <row r="32" spans="1:11">
      <c r="A32" s="438"/>
      <c r="B32" s="1609" t="s">
        <v>646</v>
      </c>
      <c r="C32" s="1609"/>
      <c r="D32" s="439">
        <f>D11+D21+D25</f>
        <v>106286483.76000002</v>
      </c>
      <c r="E32" s="439">
        <f>E11+E21+E25</f>
        <v>139223520.72</v>
      </c>
      <c r="F32" s="440"/>
      <c r="G32" s="1606" t="s">
        <v>647</v>
      </c>
      <c r="H32" s="1606"/>
      <c r="I32" s="183">
        <f>SUM(I33:I37)</f>
        <v>0</v>
      </c>
      <c r="J32" s="183">
        <f>SUM(J33:J37)</f>
        <v>0</v>
      </c>
      <c r="K32" s="246"/>
    </row>
    <row r="33" spans="1:11">
      <c r="A33" s="223"/>
      <c r="B33" s="1609"/>
      <c r="C33" s="1609"/>
      <c r="D33" s="173"/>
      <c r="E33" s="173"/>
      <c r="F33" s="156"/>
      <c r="G33" s="1605" t="s">
        <v>648</v>
      </c>
      <c r="H33" s="1605"/>
      <c r="I33" s="247">
        <v>0</v>
      </c>
      <c r="J33" s="247">
        <v>0</v>
      </c>
      <c r="K33" s="246"/>
    </row>
    <row r="34" spans="1:11">
      <c r="A34" s="216"/>
      <c r="B34" s="156"/>
      <c r="C34" s="156"/>
      <c r="D34" s="156"/>
      <c r="E34" s="156"/>
      <c r="F34" s="156"/>
      <c r="G34" s="1605" t="s">
        <v>649</v>
      </c>
      <c r="H34" s="1605"/>
      <c r="I34" s="247">
        <v>0</v>
      </c>
      <c r="J34" s="247">
        <v>0</v>
      </c>
      <c r="K34" s="246"/>
    </row>
    <row r="35" spans="1:11">
      <c r="A35" s="216"/>
      <c r="B35" s="156"/>
      <c r="C35" s="156"/>
      <c r="D35" s="156"/>
      <c r="E35" s="156"/>
      <c r="F35" s="156"/>
      <c r="G35" s="1605" t="s">
        <v>650</v>
      </c>
      <c r="H35" s="1605"/>
      <c r="I35" s="247">
        <v>0</v>
      </c>
      <c r="J35" s="247">
        <v>0</v>
      </c>
      <c r="K35" s="246"/>
    </row>
    <row r="36" spans="1:11">
      <c r="A36" s="216"/>
      <c r="B36" s="156"/>
      <c r="C36" s="156"/>
      <c r="D36" s="156"/>
      <c r="E36" s="156"/>
      <c r="F36" s="156"/>
      <c r="G36" s="1605" t="s">
        <v>651</v>
      </c>
      <c r="H36" s="1605"/>
      <c r="I36" s="247">
        <v>0</v>
      </c>
      <c r="J36" s="247">
        <v>0</v>
      </c>
      <c r="K36" s="246"/>
    </row>
    <row r="37" spans="1:11">
      <c r="A37" s="216"/>
      <c r="B37" s="156"/>
      <c r="C37" s="156"/>
      <c r="D37" s="156"/>
      <c r="E37" s="156"/>
      <c r="F37" s="156"/>
      <c r="G37" s="1605" t="s">
        <v>652</v>
      </c>
      <c r="H37" s="1605"/>
      <c r="I37" s="247">
        <v>0</v>
      </c>
      <c r="J37" s="247">
        <v>0</v>
      </c>
      <c r="K37" s="246"/>
    </row>
    <row r="38" spans="1:11">
      <c r="A38" s="216"/>
      <c r="B38" s="156"/>
      <c r="C38" s="156"/>
      <c r="D38" s="156"/>
      <c r="E38" s="156"/>
      <c r="F38" s="156"/>
      <c r="G38" s="172"/>
      <c r="H38" s="170"/>
      <c r="I38" s="437"/>
      <c r="J38" s="437"/>
      <c r="K38" s="246"/>
    </row>
    <row r="39" spans="1:11">
      <c r="A39" s="216"/>
      <c r="B39" s="156"/>
      <c r="C39" s="156"/>
      <c r="D39" s="156"/>
      <c r="E39" s="156"/>
      <c r="F39" s="156"/>
      <c r="G39" s="1607" t="s">
        <v>653</v>
      </c>
      <c r="H39" s="1607"/>
      <c r="I39" s="183">
        <f>SUM(I40:I45)</f>
        <v>5491810.0199999996</v>
      </c>
      <c r="J39" s="183">
        <f>SUM(J40:J45)</f>
        <v>4154450.67</v>
      </c>
      <c r="K39" s="246"/>
    </row>
    <row r="40" spans="1:11" ht="26.25" customHeight="1">
      <c r="A40" s="216"/>
      <c r="B40" s="156"/>
      <c r="C40" s="156"/>
      <c r="D40" s="156"/>
      <c r="E40" s="156"/>
      <c r="F40" s="156"/>
      <c r="G40" s="1608" t="s">
        <v>654</v>
      </c>
      <c r="H40" s="1608"/>
      <c r="I40" s="247">
        <f>+EGRESOS!C60</f>
        <v>5237879.01</v>
      </c>
      <c r="J40" s="247">
        <v>3764489.75</v>
      </c>
      <c r="K40" s="246"/>
    </row>
    <row r="41" spans="1:11">
      <c r="A41" s="216"/>
      <c r="B41" s="156"/>
      <c r="C41" s="156"/>
      <c r="D41" s="156"/>
      <c r="E41" s="156"/>
      <c r="F41" s="156"/>
      <c r="G41" s="1605" t="s">
        <v>655</v>
      </c>
      <c r="H41" s="1605"/>
      <c r="I41" s="247">
        <v>0</v>
      </c>
      <c r="J41" s="247">
        <v>0</v>
      </c>
      <c r="K41" s="246"/>
    </row>
    <row r="42" spans="1:11" ht="12" customHeight="1">
      <c r="A42" s="216"/>
      <c r="B42" s="156"/>
      <c r="C42" s="156"/>
      <c r="D42" s="156"/>
      <c r="E42" s="156"/>
      <c r="F42" s="156"/>
      <c r="G42" s="1605" t="s">
        <v>656</v>
      </c>
      <c r="H42" s="1605"/>
      <c r="I42" s="247">
        <v>0</v>
      </c>
      <c r="J42" s="247">
        <v>0</v>
      </c>
      <c r="K42" s="246"/>
    </row>
    <row r="43" spans="1:11" ht="25.5" customHeight="1">
      <c r="A43" s="216"/>
      <c r="B43" s="156"/>
      <c r="C43" s="156"/>
      <c r="D43" s="156"/>
      <c r="E43" s="156"/>
      <c r="F43" s="156"/>
      <c r="G43" s="1608" t="s">
        <v>657</v>
      </c>
      <c r="H43" s="1608"/>
      <c r="I43" s="247">
        <v>0</v>
      </c>
      <c r="J43" s="247">
        <v>0</v>
      </c>
      <c r="K43" s="246"/>
    </row>
    <row r="44" spans="1:11">
      <c r="A44" s="216"/>
      <c r="B44" s="156"/>
      <c r="C44" s="156"/>
      <c r="D44" s="156"/>
      <c r="E44" s="156"/>
      <c r="F44" s="156"/>
      <c r="G44" s="1605" t="s">
        <v>658</v>
      </c>
      <c r="H44" s="1605"/>
      <c r="I44" s="247">
        <v>0</v>
      </c>
      <c r="J44" s="247">
        <v>0</v>
      </c>
      <c r="K44" s="246"/>
    </row>
    <row r="45" spans="1:11">
      <c r="A45" s="216"/>
      <c r="B45" s="156"/>
      <c r="C45" s="156"/>
      <c r="D45" s="156"/>
      <c r="E45" s="156"/>
      <c r="F45" s="156"/>
      <c r="G45" s="1605" t="s">
        <v>659</v>
      </c>
      <c r="H45" s="1605"/>
      <c r="I45" s="247">
        <f>+EGRESOS!C63+EGRESOS!C49-EA!I40-EA!I24</f>
        <v>253931.00999999978</v>
      </c>
      <c r="J45" s="247">
        <v>389960.91999999993</v>
      </c>
      <c r="K45" s="246"/>
    </row>
    <row r="46" spans="1:11">
      <c r="A46" s="216"/>
      <c r="B46" s="156"/>
      <c r="C46" s="156"/>
      <c r="D46" s="156"/>
      <c r="E46" s="156"/>
      <c r="F46" s="156"/>
      <c r="G46" s="172"/>
      <c r="H46" s="170"/>
      <c r="I46" s="437"/>
      <c r="J46" s="437"/>
      <c r="K46" s="246"/>
    </row>
    <row r="47" spans="1:11">
      <c r="A47" s="216"/>
      <c r="B47" s="156"/>
      <c r="C47" s="156"/>
      <c r="D47" s="156"/>
      <c r="E47" s="156"/>
      <c r="F47" s="156"/>
      <c r="G47" s="1607" t="s">
        <v>660</v>
      </c>
      <c r="H47" s="1607"/>
      <c r="I47" s="183">
        <f>SUM(I48)</f>
        <v>0</v>
      </c>
      <c r="J47" s="183">
        <f>SUM(J48)</f>
        <v>0</v>
      </c>
      <c r="K47" s="246"/>
    </row>
    <row r="48" spans="1:11">
      <c r="A48" s="216"/>
      <c r="B48" s="156"/>
      <c r="C48" s="156"/>
      <c r="D48" s="156"/>
      <c r="E48" s="156"/>
      <c r="F48" s="156"/>
      <c r="G48" s="1605" t="s">
        <v>661</v>
      </c>
      <c r="H48" s="1605"/>
      <c r="I48" s="247">
        <v>0</v>
      </c>
      <c r="J48" s="247">
        <v>0</v>
      </c>
      <c r="K48" s="246"/>
    </row>
    <row r="49" spans="1:11">
      <c r="A49" s="216"/>
      <c r="B49" s="156"/>
      <c r="C49" s="156"/>
      <c r="D49" s="156"/>
      <c r="E49" s="156"/>
      <c r="F49" s="156"/>
      <c r="G49" s="172"/>
      <c r="H49" s="170"/>
      <c r="I49" s="437"/>
      <c r="J49" s="437"/>
      <c r="K49" s="246"/>
    </row>
    <row r="50" spans="1:11">
      <c r="A50" s="216"/>
      <c r="B50" s="156"/>
      <c r="C50" s="156"/>
      <c r="D50" s="156"/>
      <c r="E50" s="156"/>
      <c r="F50" s="156"/>
      <c r="G50" s="1609" t="s">
        <v>662</v>
      </c>
      <c r="H50" s="1609"/>
      <c r="I50" s="441">
        <f>I11+I16+I27+I32+I39+I47</f>
        <v>57675784.469999999</v>
      </c>
      <c r="J50" s="441">
        <f>J11+J16+J27+J32+J39+J47</f>
        <v>56516117.880000003</v>
      </c>
      <c r="K50" s="442"/>
    </row>
    <row r="51" spans="1:11">
      <c r="A51" s="216"/>
      <c r="B51" s="156"/>
      <c r="C51" s="156"/>
      <c r="D51" s="156"/>
      <c r="E51" s="156"/>
      <c r="F51" s="156"/>
      <c r="G51" s="175"/>
      <c r="H51" s="175"/>
      <c r="I51" s="437"/>
      <c r="J51" s="437"/>
      <c r="K51" s="442"/>
    </row>
    <row r="52" spans="1:11">
      <c r="A52" s="216"/>
      <c r="B52" s="156"/>
      <c r="C52" s="156"/>
      <c r="D52" s="156"/>
      <c r="E52" s="156"/>
      <c r="F52" s="156"/>
      <c r="G52" s="1611" t="s">
        <v>663</v>
      </c>
      <c r="H52" s="1611"/>
      <c r="I52" s="441">
        <f>D32-I50</f>
        <v>48610699.290000021</v>
      </c>
      <c r="J52" s="441">
        <f>E32-J50</f>
        <v>82707402.840000004</v>
      </c>
      <c r="K52" s="442"/>
    </row>
    <row r="53" spans="1:11" ht="6" customHeight="1">
      <c r="A53" s="443"/>
      <c r="B53" s="196"/>
      <c r="C53" s="196"/>
      <c r="D53" s="196"/>
      <c r="E53" s="196"/>
      <c r="F53" s="196"/>
      <c r="G53" s="196"/>
      <c r="H53" s="196"/>
      <c r="I53" s="196"/>
      <c r="J53" s="196"/>
      <c r="K53" s="192"/>
    </row>
    <row r="54" spans="1:11" ht="6" customHeight="1"/>
    <row r="55" spans="1:11" ht="6" customHeight="1">
      <c r="A55" s="196"/>
      <c r="B55" s="197"/>
      <c r="C55" s="198"/>
      <c r="D55" s="199"/>
      <c r="E55" s="199"/>
      <c r="F55" s="196"/>
      <c r="G55" s="200"/>
      <c r="H55" s="198"/>
      <c r="I55" s="199"/>
      <c r="J55" s="199"/>
      <c r="K55" s="196"/>
    </row>
    <row r="56" spans="1:11" ht="6" customHeight="1">
      <c r="B56" s="170"/>
      <c r="C56" s="193"/>
      <c r="D56" s="194"/>
      <c r="E56" s="194"/>
      <c r="G56" s="195"/>
      <c r="H56" s="193"/>
      <c r="I56" s="194"/>
      <c r="J56" s="194"/>
    </row>
    <row r="57" spans="1:11" ht="15" customHeight="1">
      <c r="B57" s="1612" t="s">
        <v>664</v>
      </c>
      <c r="C57" s="1612"/>
      <c r="D57" s="1612"/>
      <c r="E57" s="1612"/>
      <c r="F57" s="1612"/>
      <c r="G57" s="1612"/>
      <c r="H57" s="1612"/>
      <c r="I57" s="1612"/>
      <c r="J57" s="1612"/>
    </row>
    <row r="58" spans="1:11" ht="9.75" customHeight="1">
      <c r="B58" s="170"/>
      <c r="C58" s="193"/>
      <c r="D58" s="194"/>
      <c r="E58" s="194"/>
      <c r="G58" s="195"/>
      <c r="H58" s="193"/>
      <c r="I58" s="194"/>
      <c r="J58" s="194"/>
    </row>
    <row r="59" spans="1:11" ht="30" customHeight="1">
      <c r="B59" s="170"/>
      <c r="C59" s="1613"/>
      <c r="D59" s="1613"/>
      <c r="E59" s="194"/>
      <c r="G59" s="1614"/>
      <c r="H59" s="1614"/>
      <c r="I59" s="194"/>
      <c r="J59" s="194"/>
    </row>
    <row r="60" spans="1:11" ht="14.1" customHeight="1">
      <c r="B60" s="201"/>
      <c r="C60" s="1615" t="s">
        <v>2867</v>
      </c>
      <c r="D60" s="1615"/>
      <c r="E60" s="194"/>
      <c r="F60" s="194"/>
      <c r="G60" s="1615" t="s">
        <v>665</v>
      </c>
      <c r="H60" s="1615"/>
      <c r="I60" s="171"/>
      <c r="J60" s="194"/>
    </row>
    <row r="61" spans="1:11" ht="14.1" customHeight="1">
      <c r="B61" s="203"/>
      <c r="C61" s="1610" t="s">
        <v>1765</v>
      </c>
      <c r="D61" s="1610"/>
      <c r="E61" s="204"/>
      <c r="F61" s="204"/>
      <c r="G61" s="1610" t="s">
        <v>666</v>
      </c>
      <c r="H61" s="1610"/>
      <c r="I61" s="171"/>
      <c r="J61" s="194"/>
    </row>
    <row r="62" spans="1:11" ht="9.9499999999999993" customHeight="1">
      <c r="D62" s="426"/>
    </row>
    <row r="63" spans="1:11">
      <c r="D63" s="426"/>
    </row>
    <row r="64" spans="1:11">
      <c r="D64" s="426"/>
    </row>
  </sheetData>
  <sheetProtection formatCells="0" selectLockedCells="1"/>
  <mergeCells count="70">
    <mergeCell ref="C61:D61"/>
    <mergeCell ref="G61:H61"/>
    <mergeCell ref="G52:H52"/>
    <mergeCell ref="B57:J57"/>
    <mergeCell ref="C59:D59"/>
    <mergeCell ref="G59:H59"/>
    <mergeCell ref="C60:D60"/>
    <mergeCell ref="G60:H60"/>
    <mergeCell ref="G50:H50"/>
    <mergeCell ref="G36:H36"/>
    <mergeCell ref="G37:H37"/>
    <mergeCell ref="G39:H39"/>
    <mergeCell ref="G40:H40"/>
    <mergeCell ref="G41:H41"/>
    <mergeCell ref="G42:H42"/>
    <mergeCell ref="G43:H43"/>
    <mergeCell ref="G44:H44"/>
    <mergeCell ref="G45:H45"/>
    <mergeCell ref="G47:H47"/>
    <mergeCell ref="G48:H48"/>
    <mergeCell ref="G35:H35"/>
    <mergeCell ref="B28:C28"/>
    <mergeCell ref="G28:H28"/>
    <mergeCell ref="B29:C29"/>
    <mergeCell ref="G29:H29"/>
    <mergeCell ref="B30:C30"/>
    <mergeCell ref="G30:H30"/>
    <mergeCell ref="B32:C32"/>
    <mergeCell ref="G32:H32"/>
    <mergeCell ref="B33:C33"/>
    <mergeCell ref="G33:H33"/>
    <mergeCell ref="G34:H34"/>
    <mergeCell ref="G24:H24"/>
    <mergeCell ref="B25:C25"/>
    <mergeCell ref="G25:H25"/>
    <mergeCell ref="B26:C26"/>
    <mergeCell ref="B27:C27"/>
    <mergeCell ref="G27:H27"/>
    <mergeCell ref="B23:C23"/>
    <mergeCell ref="G23:H23"/>
    <mergeCell ref="B17:C17"/>
    <mergeCell ref="G17:H17"/>
    <mergeCell ref="B18:C18"/>
    <mergeCell ref="G18:H18"/>
    <mergeCell ref="B19:C19"/>
    <mergeCell ref="G19:H19"/>
    <mergeCell ref="G20:H20"/>
    <mergeCell ref="B21:C21"/>
    <mergeCell ref="G21:H21"/>
    <mergeCell ref="B22:C22"/>
    <mergeCell ref="G22:H22"/>
    <mergeCell ref="B16:C16"/>
    <mergeCell ref="G16:H16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B8:C8"/>
    <mergeCell ref="G8:H8"/>
    <mergeCell ref="C1:I1"/>
    <mergeCell ref="C2:I2"/>
    <mergeCell ref="C3:I3"/>
    <mergeCell ref="C4:I4"/>
  </mergeCells>
  <printOptions verticalCentered="1"/>
  <pageMargins left="0.34" right="0.33" top="0.41" bottom="0.70866141732283472" header="0" footer="0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06DE-727A-4401-A5F9-54D2EDF1AA50}">
  <sheetPr>
    <pageSetUpPr fitToPage="1"/>
  </sheetPr>
  <dimension ref="B1:F65"/>
  <sheetViews>
    <sheetView topLeftCell="A52" zoomScaleNormal="100" workbookViewId="0">
      <selection activeCell="E53" sqref="E53:E58"/>
    </sheetView>
  </sheetViews>
  <sheetFormatPr baseColWidth="10" defaultRowHeight="12.75"/>
  <cols>
    <col min="1" max="1" width="3.28515625" customWidth="1"/>
    <col min="2" max="2" width="40" customWidth="1"/>
    <col min="3" max="3" width="28.5703125" customWidth="1"/>
    <col min="4" max="4" width="29.28515625" customWidth="1"/>
    <col min="5" max="5" width="16.5703125" customWidth="1"/>
    <col min="6" max="6" width="16.42578125" customWidth="1"/>
  </cols>
  <sheetData>
    <row r="1" spans="2:6" ht="13.5" thickBot="1"/>
    <row r="2" spans="2:6">
      <c r="B2" s="1618" t="s">
        <v>2987</v>
      </c>
      <c r="C2" s="1619"/>
      <c r="D2" s="1619"/>
      <c r="E2" s="1619"/>
      <c r="F2" s="1620"/>
    </row>
    <row r="3" spans="2:6">
      <c r="B3" s="1621" t="s">
        <v>610</v>
      </c>
      <c r="C3" s="1622"/>
      <c r="D3" s="1622"/>
      <c r="E3" s="1622"/>
      <c r="F3" s="1623"/>
    </row>
    <row r="4" spans="2:6" ht="13.5" thickBot="1">
      <c r="B4" s="1624"/>
      <c r="C4" s="1625"/>
      <c r="D4" s="1625"/>
      <c r="E4" s="1625"/>
      <c r="F4" s="1626"/>
    </row>
    <row r="5" spans="2:6">
      <c r="B5" s="795"/>
      <c r="C5" s="796"/>
      <c r="D5" s="796"/>
      <c r="E5" s="797" t="s">
        <v>5631</v>
      </c>
      <c r="F5" s="798" t="s">
        <v>4723</v>
      </c>
    </row>
    <row r="6" spans="2:6">
      <c r="B6" s="1627" t="s">
        <v>611</v>
      </c>
      <c r="C6" s="1628"/>
      <c r="D6" s="799"/>
      <c r="E6" s="793"/>
      <c r="F6" s="789"/>
    </row>
    <row r="7" spans="2:6">
      <c r="B7" s="800" t="s">
        <v>4724</v>
      </c>
      <c r="C7" s="799"/>
      <c r="D7" s="799"/>
      <c r="E7" s="788">
        <f>SUM(E8:E14)</f>
        <v>98034207.450000018</v>
      </c>
      <c r="F7" s="789">
        <f>SUM(F8:F14)</f>
        <v>91363023.789999992</v>
      </c>
    </row>
    <row r="8" spans="2:6">
      <c r="B8" s="801" t="s">
        <v>615</v>
      </c>
      <c r="C8" s="802"/>
      <c r="D8" s="802"/>
      <c r="E8" s="790">
        <v>0</v>
      </c>
      <c r="F8" s="791">
        <v>0</v>
      </c>
    </row>
    <row r="9" spans="2:6">
      <c r="B9" s="801" t="s">
        <v>766</v>
      </c>
      <c r="C9" s="802"/>
      <c r="D9" s="802"/>
      <c r="E9" s="790">
        <v>0</v>
      </c>
      <c r="F9" s="791">
        <v>0</v>
      </c>
    </row>
    <row r="10" spans="2:6">
      <c r="B10" s="801" t="s">
        <v>4725</v>
      </c>
      <c r="C10" s="802"/>
      <c r="D10" s="802"/>
      <c r="E10" s="790">
        <v>0</v>
      </c>
      <c r="F10" s="791">
        <v>0</v>
      </c>
    </row>
    <row r="11" spans="2:6">
      <c r="B11" s="801" t="s">
        <v>619</v>
      </c>
      <c r="C11" s="802"/>
      <c r="D11" s="802"/>
      <c r="E11" s="790">
        <v>0</v>
      </c>
      <c r="F11" s="791">
        <v>0</v>
      </c>
    </row>
    <row r="12" spans="2:6">
      <c r="B12" s="801" t="s">
        <v>801</v>
      </c>
      <c r="C12" s="802"/>
      <c r="D12" s="802"/>
      <c r="E12" s="790">
        <v>0</v>
      </c>
      <c r="F12" s="791">
        <v>0</v>
      </c>
    </row>
    <row r="13" spans="2:6">
      <c r="B13" s="801" t="s">
        <v>804</v>
      </c>
      <c r="C13" s="802"/>
      <c r="D13" s="802"/>
      <c r="E13" s="790">
        <v>0</v>
      </c>
      <c r="F13" s="791">
        <v>0</v>
      </c>
    </row>
    <row r="14" spans="2:6">
      <c r="B14" s="801" t="s">
        <v>4726</v>
      </c>
      <c r="C14" s="802"/>
      <c r="D14" s="802"/>
      <c r="E14" s="790">
        <f>+EA!D18</f>
        <v>98034207.450000018</v>
      </c>
      <c r="F14" s="791">
        <f>+EA!E18</f>
        <v>91363023.789999992</v>
      </c>
    </row>
    <row r="15" spans="2:6" ht="38.25" customHeight="1">
      <c r="B15" s="1627" t="s">
        <v>4727</v>
      </c>
      <c r="C15" s="1628"/>
      <c r="D15" s="1628"/>
      <c r="E15" s="788">
        <f>SUM(E16:E17)</f>
        <v>0</v>
      </c>
      <c r="F15" s="789">
        <f>SUM(F16:F17)</f>
        <v>36623839.039999999</v>
      </c>
    </row>
    <row r="16" spans="2:6" ht="27.75" customHeight="1">
      <c r="B16" s="1629" t="s">
        <v>4728</v>
      </c>
      <c r="C16" s="1630"/>
      <c r="D16" s="1630"/>
      <c r="E16" s="790">
        <v>0</v>
      </c>
      <c r="F16" s="791">
        <v>0</v>
      </c>
    </row>
    <row r="17" spans="2:6" ht="25.5" customHeight="1">
      <c r="B17" s="1629" t="s">
        <v>4729</v>
      </c>
      <c r="C17" s="1630"/>
      <c r="D17" s="1630"/>
      <c r="E17" s="790">
        <f>+EA!D23</f>
        <v>0</v>
      </c>
      <c r="F17" s="791">
        <f>+EA!E23</f>
        <v>36623839.039999999</v>
      </c>
    </row>
    <row r="18" spans="2:6">
      <c r="B18" s="803" t="s">
        <v>636</v>
      </c>
      <c r="C18" s="804"/>
      <c r="D18" s="804"/>
      <c r="E18" s="788">
        <f>SUM(E19:E23)</f>
        <v>8252276.3100000005</v>
      </c>
      <c r="F18" s="789">
        <f>SUM(F19:F23)</f>
        <v>11236657.890000002</v>
      </c>
    </row>
    <row r="19" spans="2:6">
      <c r="B19" s="801" t="s">
        <v>4730</v>
      </c>
      <c r="C19" s="805"/>
      <c r="D19" s="805"/>
      <c r="E19" s="790">
        <f>+EA!D26</f>
        <v>8204532.3900000006</v>
      </c>
      <c r="F19" s="791">
        <f>+EA!E26</f>
        <v>11213569.460000001</v>
      </c>
    </row>
    <row r="20" spans="2:6">
      <c r="B20" s="801" t="s">
        <v>639</v>
      </c>
      <c r="C20" s="805"/>
      <c r="D20" s="805"/>
      <c r="E20" s="790">
        <v>0</v>
      </c>
      <c r="F20" s="791">
        <v>0</v>
      </c>
    </row>
    <row r="21" spans="2:6" ht="27" customHeight="1">
      <c r="B21" s="1629" t="s">
        <v>640</v>
      </c>
      <c r="C21" s="1630"/>
      <c r="D21" s="1630"/>
      <c r="E21" s="790">
        <v>0</v>
      </c>
      <c r="F21" s="791">
        <v>0</v>
      </c>
    </row>
    <row r="22" spans="2:6">
      <c r="B22" s="801" t="s">
        <v>642</v>
      </c>
      <c r="C22" s="805"/>
      <c r="D22" s="805"/>
      <c r="E22" s="790">
        <v>0</v>
      </c>
      <c r="F22" s="791">
        <v>0</v>
      </c>
    </row>
    <row r="23" spans="2:6">
      <c r="B23" s="801" t="s">
        <v>644</v>
      </c>
      <c r="C23" s="805"/>
      <c r="D23" s="805"/>
      <c r="E23" s="790">
        <f>+EA!D30</f>
        <v>47743.919999999925</v>
      </c>
      <c r="F23" s="791">
        <f>+EA!E30</f>
        <v>23088.430000001565</v>
      </c>
    </row>
    <row r="24" spans="2:6">
      <c r="B24" s="806"/>
      <c r="C24" s="807"/>
      <c r="D24" s="807"/>
      <c r="E24" s="793"/>
      <c r="F24" s="808"/>
    </row>
    <row r="25" spans="2:6">
      <c r="B25" s="803" t="s">
        <v>646</v>
      </c>
      <c r="C25" s="799"/>
      <c r="D25" s="799"/>
      <c r="E25" s="788">
        <f>SUM(E18,E15,E7)</f>
        <v>106286483.76000002</v>
      </c>
      <c r="F25" s="789">
        <f>SUM(F18,F15,F7)</f>
        <v>139223520.72</v>
      </c>
    </row>
    <row r="26" spans="2:6">
      <c r="B26" s="806"/>
      <c r="C26" s="807"/>
      <c r="D26" s="807"/>
      <c r="E26" s="793"/>
      <c r="F26" s="794"/>
    </row>
    <row r="27" spans="2:6">
      <c r="B27" s="800" t="s">
        <v>612</v>
      </c>
      <c r="C27" s="799"/>
      <c r="D27" s="799"/>
      <c r="E27" s="793"/>
      <c r="F27" s="794"/>
    </row>
    <row r="28" spans="2:6">
      <c r="B28" s="800" t="s">
        <v>4731</v>
      </c>
      <c r="C28" s="799"/>
      <c r="D28" s="799"/>
      <c r="E28" s="788">
        <f>SUM(E29:E31)</f>
        <v>51389759.569999993</v>
      </c>
      <c r="F28" s="789">
        <f>SUM(F29:F31)</f>
        <v>51703099.219999999</v>
      </c>
    </row>
    <row r="29" spans="2:6">
      <c r="B29" s="801" t="s">
        <v>169</v>
      </c>
      <c r="C29" s="805"/>
      <c r="D29" s="805"/>
      <c r="E29" s="790">
        <f>+EA!I12</f>
        <v>15074778.560000001</v>
      </c>
      <c r="F29" s="791">
        <f>+EA!J12</f>
        <v>14762712.049999997</v>
      </c>
    </row>
    <row r="30" spans="2:6">
      <c r="B30" s="801" t="s">
        <v>167</v>
      </c>
      <c r="C30" s="805"/>
      <c r="D30" s="805"/>
      <c r="E30" s="790">
        <f>+EA!I13</f>
        <v>862793.71</v>
      </c>
      <c r="F30" s="791">
        <f>+EA!J13</f>
        <v>858269.25</v>
      </c>
    </row>
    <row r="31" spans="2:6">
      <c r="B31" s="801" t="s">
        <v>168</v>
      </c>
      <c r="C31" s="805"/>
      <c r="D31" s="805"/>
      <c r="E31" s="790">
        <f>+EA!I14</f>
        <v>35452187.299999997</v>
      </c>
      <c r="F31" s="791">
        <f>+EA!J14</f>
        <v>36082117.920000002</v>
      </c>
    </row>
    <row r="32" spans="2:6">
      <c r="B32" s="803" t="s">
        <v>806</v>
      </c>
      <c r="C32" s="804"/>
      <c r="D32" s="804"/>
      <c r="E32" s="788">
        <f>SUM(E33:E41)</f>
        <v>794214.88000000012</v>
      </c>
      <c r="F32" s="789">
        <f>SUM(F33:F41)</f>
        <v>658567.99</v>
      </c>
    </row>
    <row r="33" spans="2:6">
      <c r="B33" s="1616" t="s">
        <v>623</v>
      </c>
      <c r="C33" s="1617"/>
      <c r="D33" s="1617"/>
      <c r="E33" s="790">
        <f>+EA!I17</f>
        <v>149551.82</v>
      </c>
      <c r="F33" s="791">
        <f>+EA!J17</f>
        <v>116363.09</v>
      </c>
    </row>
    <row r="34" spans="2:6">
      <c r="B34" s="1616" t="s">
        <v>625</v>
      </c>
      <c r="C34" s="1617"/>
      <c r="D34" s="1617"/>
      <c r="E34" s="790">
        <v>0</v>
      </c>
      <c r="F34" s="791">
        <v>0</v>
      </c>
    </row>
    <row r="35" spans="2:6">
      <c r="B35" s="1616" t="s">
        <v>627</v>
      </c>
      <c r="C35" s="1617"/>
      <c r="D35" s="1617"/>
      <c r="E35" s="790">
        <f>+EA!I19</f>
        <v>0</v>
      </c>
      <c r="F35" s="791">
        <f>+EA!J19</f>
        <v>0</v>
      </c>
    </row>
    <row r="36" spans="2:6">
      <c r="B36" s="1616" t="s">
        <v>628</v>
      </c>
      <c r="C36" s="1617"/>
      <c r="D36" s="1617"/>
      <c r="E36" s="790">
        <v>0</v>
      </c>
      <c r="F36" s="791">
        <v>0</v>
      </c>
    </row>
    <row r="37" spans="2:6">
      <c r="B37" s="1616" t="s">
        <v>630</v>
      </c>
      <c r="C37" s="1617"/>
      <c r="D37" s="1617"/>
      <c r="E37" s="790">
        <f>+EA!I21</f>
        <v>644663.06000000006</v>
      </c>
      <c r="F37" s="791">
        <f>+EA!J21</f>
        <v>542204.9</v>
      </c>
    </row>
    <row r="38" spans="2:6">
      <c r="B38" s="1616" t="s">
        <v>632</v>
      </c>
      <c r="C38" s="1617"/>
      <c r="D38" s="1617"/>
      <c r="E38" s="790">
        <v>0</v>
      </c>
      <c r="F38" s="791">
        <v>0</v>
      </c>
    </row>
    <row r="39" spans="2:6">
      <c r="B39" s="1616" t="s">
        <v>634</v>
      </c>
      <c r="C39" s="1617"/>
      <c r="D39" s="1617"/>
      <c r="E39" s="790">
        <v>0</v>
      </c>
      <c r="F39" s="791">
        <v>0</v>
      </c>
    </row>
    <row r="40" spans="2:6">
      <c r="B40" s="1616" t="s">
        <v>635</v>
      </c>
      <c r="C40" s="1617"/>
      <c r="D40" s="1617"/>
      <c r="E40" s="790">
        <v>0</v>
      </c>
      <c r="F40" s="791">
        <v>0</v>
      </c>
    </row>
    <row r="41" spans="2:6">
      <c r="B41" s="1616" t="s">
        <v>637</v>
      </c>
      <c r="C41" s="1617"/>
      <c r="D41" s="1617"/>
      <c r="E41" s="790">
        <v>0</v>
      </c>
      <c r="F41" s="791">
        <v>0</v>
      </c>
    </row>
    <row r="42" spans="2:6">
      <c r="B42" s="800" t="s">
        <v>631</v>
      </c>
      <c r="C42" s="799"/>
      <c r="D42" s="799"/>
      <c r="E42" s="788">
        <f>SUM(E43:E45)</f>
        <v>0</v>
      </c>
      <c r="F42" s="789">
        <f>SUM(F43:F45)</f>
        <v>0</v>
      </c>
    </row>
    <row r="43" spans="2:6">
      <c r="B43" s="1616" t="s">
        <v>641</v>
      </c>
      <c r="C43" s="1617"/>
      <c r="D43" s="1617"/>
      <c r="E43" s="790">
        <v>0</v>
      </c>
      <c r="F43" s="791">
        <v>0</v>
      </c>
    </row>
    <row r="44" spans="2:6">
      <c r="B44" s="1616" t="s">
        <v>643</v>
      </c>
      <c r="C44" s="1617"/>
      <c r="D44" s="1617"/>
      <c r="E44" s="790">
        <v>0</v>
      </c>
      <c r="F44" s="791">
        <v>0</v>
      </c>
    </row>
    <row r="45" spans="2:6">
      <c r="B45" s="1616" t="s">
        <v>645</v>
      </c>
      <c r="C45" s="1617"/>
      <c r="D45" s="1617"/>
      <c r="E45" s="790">
        <v>0</v>
      </c>
      <c r="F45" s="791">
        <v>0</v>
      </c>
    </row>
    <row r="46" spans="2:6">
      <c r="B46" s="803" t="s">
        <v>647</v>
      </c>
      <c r="C46" s="804"/>
      <c r="D46" s="804"/>
      <c r="E46" s="788">
        <f>SUM(E47:E51)</f>
        <v>0</v>
      </c>
      <c r="F46" s="789">
        <f>SUM(F47:F51)</f>
        <v>0</v>
      </c>
    </row>
    <row r="47" spans="2:6">
      <c r="B47" s="1616" t="s">
        <v>648</v>
      </c>
      <c r="C47" s="1617"/>
      <c r="D47" s="1617"/>
      <c r="E47" s="790">
        <v>0</v>
      </c>
      <c r="F47" s="791">
        <v>0</v>
      </c>
    </row>
    <row r="48" spans="2:6">
      <c r="B48" s="1616" t="s">
        <v>649</v>
      </c>
      <c r="C48" s="1617"/>
      <c r="D48" s="1617"/>
      <c r="E48" s="790">
        <v>0</v>
      </c>
      <c r="F48" s="791">
        <v>0</v>
      </c>
    </row>
    <row r="49" spans="2:6">
      <c r="B49" s="1616" t="s">
        <v>650</v>
      </c>
      <c r="C49" s="1617"/>
      <c r="D49" s="1617"/>
      <c r="E49" s="790">
        <v>0</v>
      </c>
      <c r="F49" s="791">
        <v>0</v>
      </c>
    </row>
    <row r="50" spans="2:6">
      <c r="B50" s="1616" t="s">
        <v>651</v>
      </c>
      <c r="C50" s="1617"/>
      <c r="D50" s="1617"/>
      <c r="E50" s="790">
        <v>0</v>
      </c>
      <c r="F50" s="791">
        <v>0</v>
      </c>
    </row>
    <row r="51" spans="2:6">
      <c r="B51" s="1616" t="s">
        <v>652</v>
      </c>
      <c r="C51" s="1617"/>
      <c r="D51" s="1617"/>
      <c r="E51" s="790">
        <v>0</v>
      </c>
      <c r="F51" s="791">
        <v>0</v>
      </c>
    </row>
    <row r="52" spans="2:6">
      <c r="B52" s="803" t="s">
        <v>653</v>
      </c>
      <c r="C52" s="804"/>
      <c r="D52" s="804"/>
      <c r="E52" s="788">
        <f>SUM(E53:E58)</f>
        <v>5491810.0199999996</v>
      </c>
      <c r="F52" s="789">
        <f>SUM(F53:F58)</f>
        <v>4154450.67</v>
      </c>
    </row>
    <row r="53" spans="2:6">
      <c r="B53" s="1616" t="s">
        <v>654</v>
      </c>
      <c r="C53" s="1617"/>
      <c r="D53" s="1617"/>
      <c r="E53" s="790">
        <f>+EA!I40</f>
        <v>5237879.01</v>
      </c>
      <c r="F53" s="791">
        <f>+EA!J40</f>
        <v>3764489.75</v>
      </c>
    </row>
    <row r="54" spans="2:6">
      <c r="B54" s="1616" t="s">
        <v>655</v>
      </c>
      <c r="C54" s="1617"/>
      <c r="D54" s="1617"/>
      <c r="E54" s="790">
        <v>0</v>
      </c>
      <c r="F54" s="791">
        <v>0</v>
      </c>
    </row>
    <row r="55" spans="2:6">
      <c r="B55" s="1616" t="s">
        <v>656</v>
      </c>
      <c r="C55" s="1617"/>
      <c r="D55" s="1617"/>
      <c r="E55" s="790">
        <v>0</v>
      </c>
      <c r="F55" s="791">
        <v>0</v>
      </c>
    </row>
    <row r="56" spans="2:6">
      <c r="B56" s="1616" t="s">
        <v>4732</v>
      </c>
      <c r="C56" s="1617"/>
      <c r="D56" s="1617"/>
      <c r="E56" s="790">
        <v>0</v>
      </c>
      <c r="F56" s="791">
        <v>0</v>
      </c>
    </row>
    <row r="57" spans="2:6">
      <c r="B57" s="1616" t="s">
        <v>658</v>
      </c>
      <c r="C57" s="1617"/>
      <c r="D57" s="1617"/>
      <c r="E57" s="790">
        <v>0</v>
      </c>
      <c r="F57" s="791">
        <v>0</v>
      </c>
    </row>
    <row r="58" spans="2:6">
      <c r="B58" s="1616" t="s">
        <v>659</v>
      </c>
      <c r="C58" s="1617"/>
      <c r="D58" s="1617"/>
      <c r="E58" s="790">
        <f>+EA!I45</f>
        <v>253931.00999999978</v>
      </c>
      <c r="F58" s="791">
        <f>+EA!J45</f>
        <v>389960.91999999993</v>
      </c>
    </row>
    <row r="59" spans="2:6">
      <c r="B59" s="800" t="s">
        <v>660</v>
      </c>
      <c r="C59" s="799"/>
      <c r="D59" s="799"/>
      <c r="E59" s="788">
        <f>SUM(E60)</f>
        <v>0</v>
      </c>
      <c r="F59" s="789">
        <f>SUM(F60)</f>
        <v>0</v>
      </c>
    </row>
    <row r="60" spans="2:6">
      <c r="B60" s="1616" t="s">
        <v>4733</v>
      </c>
      <c r="C60" s="1617"/>
      <c r="D60" s="1617"/>
      <c r="E60" s="790">
        <v>0</v>
      </c>
      <c r="F60" s="791">
        <v>0</v>
      </c>
    </row>
    <row r="61" spans="2:6">
      <c r="B61" s="1631"/>
      <c r="C61" s="1632"/>
      <c r="D61" s="1632"/>
      <c r="E61" s="793"/>
      <c r="F61" s="794"/>
    </row>
    <row r="62" spans="2:6">
      <c r="B62" s="800" t="s">
        <v>662</v>
      </c>
      <c r="C62" s="799"/>
      <c r="D62" s="799"/>
      <c r="E62" s="788">
        <f>SUM(E52,E59,E46,E42,E28,E32)</f>
        <v>57675784.469999991</v>
      </c>
      <c r="F62" s="789">
        <f>SUM(F59,F52,F46,F42,F28,F32)</f>
        <v>56516117.880000003</v>
      </c>
    </row>
    <row r="63" spans="2:6">
      <c r="B63" s="806"/>
      <c r="C63" s="807"/>
      <c r="D63" s="807"/>
      <c r="E63" s="793"/>
      <c r="F63" s="794"/>
    </row>
    <row r="64" spans="2:6">
      <c r="B64" s="803" t="s">
        <v>761</v>
      </c>
      <c r="C64" s="799"/>
      <c r="D64" s="799"/>
      <c r="E64" s="788">
        <f>E25-E62</f>
        <v>48610699.290000029</v>
      </c>
      <c r="F64" s="789">
        <f>F25-F62</f>
        <v>82707402.840000004</v>
      </c>
    </row>
    <row r="65" spans="2:6" ht="13.5" thickBot="1">
      <c r="B65" s="809"/>
      <c r="C65" s="810"/>
      <c r="D65" s="810"/>
      <c r="E65" s="811"/>
      <c r="F65" s="812"/>
    </row>
  </sheetData>
  <mergeCells count="33">
    <mergeCell ref="B61:D61"/>
    <mergeCell ref="B17:D17"/>
    <mergeCell ref="B21:D21"/>
    <mergeCell ref="B54:D54"/>
    <mergeCell ref="B55:D55"/>
    <mergeCell ref="B56:D56"/>
    <mergeCell ref="B57:D57"/>
    <mergeCell ref="B58:D58"/>
    <mergeCell ref="B60:D60"/>
    <mergeCell ref="B47:D47"/>
    <mergeCell ref="B48:D48"/>
    <mergeCell ref="B49:D49"/>
    <mergeCell ref="B50:D50"/>
    <mergeCell ref="B51:D51"/>
    <mergeCell ref="B53:D53"/>
    <mergeCell ref="B39:D39"/>
    <mergeCell ref="B40:D40"/>
    <mergeCell ref="B41:D41"/>
    <mergeCell ref="B43:D43"/>
    <mergeCell ref="B44:D44"/>
    <mergeCell ref="B45:D45"/>
    <mergeCell ref="B38:D38"/>
    <mergeCell ref="B2:F2"/>
    <mergeCell ref="B3:F3"/>
    <mergeCell ref="B4:F4"/>
    <mergeCell ref="B6:C6"/>
    <mergeCell ref="B15:D15"/>
    <mergeCell ref="B16:D16"/>
    <mergeCell ref="B33:D33"/>
    <mergeCell ref="B34:D34"/>
    <mergeCell ref="B35:D35"/>
    <mergeCell ref="B36:D36"/>
    <mergeCell ref="B37:D3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L53"/>
  <sheetViews>
    <sheetView zoomScaleNormal="100" zoomScalePageLayoutView="80" workbookViewId="0">
      <selection activeCell="C5" sqref="C5:I5"/>
    </sheetView>
  </sheetViews>
  <sheetFormatPr baseColWidth="10" defaultRowHeight="12"/>
  <cols>
    <col min="1" max="1" width="1.5703125" style="157" customWidth="1"/>
    <col min="2" max="2" width="27.5703125" style="156" customWidth="1"/>
    <col min="3" max="3" width="25.28515625" style="157" customWidth="1"/>
    <col min="4" max="4" width="13.5703125" style="157" customWidth="1"/>
    <col min="5" max="5" width="13.7109375" style="157" customWidth="1"/>
    <col min="6" max="6" width="1.28515625" style="158" customWidth="1"/>
    <col min="7" max="7" width="27.5703125" style="157" customWidth="1"/>
    <col min="8" max="8" width="21.28515625" style="157" customWidth="1"/>
    <col min="9" max="9" width="15.7109375" style="157" customWidth="1"/>
    <col min="10" max="10" width="13.42578125" style="157" customWidth="1"/>
    <col min="11" max="11" width="1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39" t="s">
        <v>2987</v>
      </c>
      <c r="D3" s="1639"/>
      <c r="E3" s="1639"/>
      <c r="F3" s="1639"/>
      <c r="G3" s="1639"/>
      <c r="H3" s="1639"/>
      <c r="I3" s="1639"/>
      <c r="J3" s="159"/>
      <c r="K3" s="159"/>
    </row>
    <row r="4" spans="1:12" ht="14.1" customHeight="1">
      <c r="B4" s="451"/>
      <c r="C4" s="1639" t="s">
        <v>667</v>
      </c>
      <c r="D4" s="1639"/>
      <c r="E4" s="1639"/>
      <c r="F4" s="1639"/>
      <c r="G4" s="1639"/>
      <c r="H4" s="1639"/>
      <c r="I4" s="1639"/>
      <c r="J4" s="159"/>
      <c r="K4" s="159"/>
    </row>
    <row r="5" spans="1:12" ht="14.1" customHeight="1">
      <c r="B5" s="451"/>
      <c r="C5" s="1639" t="s">
        <v>7077</v>
      </c>
      <c r="D5" s="1639"/>
      <c r="E5" s="1639"/>
      <c r="F5" s="1639"/>
      <c r="G5" s="1639"/>
      <c r="H5" s="1639"/>
      <c r="I5" s="1639"/>
      <c r="J5" s="159"/>
      <c r="K5" s="159"/>
    </row>
    <row r="6" spans="1:12" ht="14.1" customHeight="1">
      <c r="B6" s="160"/>
      <c r="C6" s="1640" t="str">
        <f>+EA!C4</f>
        <v>y al 31 de diciembre de 2020</v>
      </c>
      <c r="D6" s="1640"/>
      <c r="E6" s="1640"/>
      <c r="F6" s="1640"/>
      <c r="G6" s="1640"/>
      <c r="H6" s="1640"/>
      <c r="I6" s="1640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33"/>
      <c r="B9" s="1635" t="s">
        <v>101</v>
      </c>
      <c r="C9" s="1635"/>
      <c r="D9" s="662" t="s">
        <v>1862</v>
      </c>
      <c r="E9" s="662"/>
      <c r="F9" s="1637"/>
      <c r="G9" s="1635" t="s">
        <v>101</v>
      </c>
      <c r="H9" s="1635"/>
      <c r="I9" s="632" t="s">
        <v>1863</v>
      </c>
      <c r="J9" s="632"/>
      <c r="K9" s="633"/>
      <c r="L9" s="164"/>
    </row>
    <row r="10" spans="1:12" s="165" customFormat="1" ht="15" customHeight="1">
      <c r="A10" s="1634"/>
      <c r="B10" s="1636"/>
      <c r="C10" s="1636"/>
      <c r="D10" s="661">
        <v>2021</v>
      </c>
      <c r="E10" s="661">
        <v>2020</v>
      </c>
      <c r="F10" s="1638"/>
      <c r="G10" s="1636"/>
      <c r="H10" s="1636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7" t="s">
        <v>668</v>
      </c>
      <c r="C13" s="1607"/>
      <c r="D13" s="169"/>
      <c r="E13" s="170"/>
      <c r="G13" s="1607" t="s">
        <v>669</v>
      </c>
      <c r="H13" s="1607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609" t="s">
        <v>670</v>
      </c>
      <c r="C15" s="1609"/>
      <c r="D15" s="173"/>
      <c r="E15" s="173"/>
      <c r="G15" s="1609" t="s">
        <v>671</v>
      </c>
      <c r="H15" s="1609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>
      <c r="A17" s="168"/>
      <c r="B17" s="1605" t="s">
        <v>672</v>
      </c>
      <c r="C17" s="1605"/>
      <c r="D17" s="177">
        <f>+BALANCE!B12+BALANCE!B13+BALANCE!B14</f>
        <v>204262855.45999998</v>
      </c>
      <c r="E17" s="177">
        <v>192432921.41000003</v>
      </c>
      <c r="G17" s="1605" t="s">
        <v>673</v>
      </c>
      <c r="H17" s="1605"/>
      <c r="I17" s="177">
        <f>+BALANCE!E12+BALANCE!E13+BALANCE!E14+BALANCE!E15</f>
        <v>2718060.53</v>
      </c>
      <c r="J17" s="177">
        <v>3290802.8</v>
      </c>
      <c r="K17" s="167"/>
    </row>
    <row r="18" spans="1:11">
      <c r="A18" s="168"/>
      <c r="B18" s="1605" t="s">
        <v>674</v>
      </c>
      <c r="C18" s="1605"/>
      <c r="D18" s="177">
        <f>+BALANCE!B15+BALANCE!B16+BALANCE!B17+BALANCE!B18</f>
        <v>12535750.810000001</v>
      </c>
      <c r="E18" s="177">
        <v>30004506.859999999</v>
      </c>
      <c r="G18" s="1605" t="s">
        <v>675</v>
      </c>
      <c r="H18" s="1605"/>
      <c r="I18" s="177">
        <f>+BALANCE!E16</f>
        <v>0</v>
      </c>
      <c r="J18" s="177">
        <v>0</v>
      </c>
      <c r="K18" s="167"/>
    </row>
    <row r="19" spans="1:11">
      <c r="A19" s="168"/>
      <c r="B19" s="1605" t="s">
        <v>676</v>
      </c>
      <c r="C19" s="1605"/>
      <c r="D19" s="177">
        <f>+BALANCE!B19+BALANCE!B20+BALANCE!B21</f>
        <v>312349.13</v>
      </c>
      <c r="E19" s="177">
        <v>292951.38</v>
      </c>
      <c r="G19" s="1605" t="s">
        <v>681</v>
      </c>
      <c r="H19" s="1605"/>
      <c r="I19" s="177">
        <f>+BALANCE!E17</f>
        <v>46.39</v>
      </c>
      <c r="J19" s="177">
        <v>9449.58</v>
      </c>
      <c r="K19" s="167"/>
    </row>
    <row r="20" spans="1:11">
      <c r="A20" s="168"/>
      <c r="B20" s="1605" t="s">
        <v>683</v>
      </c>
      <c r="C20" s="1605"/>
      <c r="D20" s="177">
        <f>+BALANCE!B22</f>
        <v>168821.74</v>
      </c>
      <c r="E20" s="177">
        <v>163103.14000000001</v>
      </c>
      <c r="G20" s="1609" t="s">
        <v>687</v>
      </c>
      <c r="H20" s="1609"/>
      <c r="I20" s="174">
        <f>SUM(I17:I19)</f>
        <v>2718106.92</v>
      </c>
      <c r="J20" s="174">
        <f>SUM(J17:J19)</f>
        <v>3300252.38</v>
      </c>
      <c r="K20" s="167"/>
    </row>
    <row r="21" spans="1:11">
      <c r="A21" s="168"/>
      <c r="B21" s="1605"/>
      <c r="C21" s="1605"/>
      <c r="D21" s="177"/>
      <c r="E21" s="177"/>
      <c r="K21" s="167"/>
    </row>
    <row r="22" spans="1:11" ht="25.5" customHeight="1">
      <c r="A22" s="168"/>
      <c r="B22" s="1609" t="s">
        <v>686</v>
      </c>
      <c r="C22" s="1609"/>
      <c r="D22" s="174">
        <f>SUM(D17:D21)</f>
        <v>217279777.13999999</v>
      </c>
      <c r="E22" s="174">
        <f>SUM(E17:E21)</f>
        <v>222893482.79000002</v>
      </c>
      <c r="G22" s="1609" t="s">
        <v>705</v>
      </c>
      <c r="H22" s="1609"/>
      <c r="I22" s="174">
        <f>+I20</f>
        <v>2718106.92</v>
      </c>
      <c r="J22" s="174">
        <f>+J20</f>
        <v>3300252.38</v>
      </c>
      <c r="K22" s="167"/>
    </row>
    <row r="23" spans="1:11">
      <c r="A23" s="168"/>
      <c r="K23" s="167"/>
    </row>
    <row r="24" spans="1:11">
      <c r="A24" s="168"/>
      <c r="B24" s="178"/>
      <c r="C24" s="179"/>
      <c r="D24" s="180"/>
      <c r="E24" s="180"/>
      <c r="G24" s="1605"/>
      <c r="H24" s="1605"/>
      <c r="I24" s="177"/>
      <c r="J24" s="177"/>
      <c r="K24" s="167"/>
    </row>
    <row r="25" spans="1:11">
      <c r="A25" s="181"/>
      <c r="F25" s="182"/>
      <c r="G25" s="1607" t="s">
        <v>707</v>
      </c>
      <c r="H25" s="1607"/>
      <c r="I25" s="180"/>
      <c r="J25" s="180"/>
      <c r="K25" s="167"/>
    </row>
    <row r="26" spans="1:11">
      <c r="A26" s="181"/>
      <c r="B26" s="172"/>
      <c r="C26" s="184"/>
      <c r="D26" s="183"/>
      <c r="E26" s="183"/>
      <c r="F26" s="182"/>
      <c r="G26" s="172"/>
      <c r="H26" s="186"/>
      <c r="I26" s="180"/>
      <c r="J26" s="180"/>
      <c r="K26" s="167"/>
    </row>
    <row r="27" spans="1:11">
      <c r="A27" s="168"/>
      <c r="B27" s="178"/>
      <c r="C27" s="178"/>
      <c r="D27" s="180"/>
      <c r="E27" s="180"/>
      <c r="G27" s="1609" t="s">
        <v>709</v>
      </c>
      <c r="H27" s="1609"/>
      <c r="I27" s="174">
        <f>SUM(I29:I30)</f>
        <v>278482908.89999998</v>
      </c>
      <c r="J27" s="174">
        <f>SUM(J29:J30)</f>
        <v>278482908.89999998</v>
      </c>
      <c r="K27" s="167"/>
    </row>
    <row r="28" spans="1:11">
      <c r="A28" s="168"/>
      <c r="B28" s="1609" t="s">
        <v>688</v>
      </c>
      <c r="C28" s="1609"/>
      <c r="D28" s="173"/>
      <c r="E28" s="173"/>
      <c r="G28" s="178"/>
      <c r="H28" s="170"/>
      <c r="I28" s="180"/>
      <c r="J28" s="180"/>
      <c r="K28" s="167"/>
    </row>
    <row r="29" spans="1:11">
      <c r="A29" s="168"/>
      <c r="B29" s="178"/>
      <c r="C29" s="178"/>
      <c r="D29" s="180"/>
      <c r="E29" s="180"/>
      <c r="G29" s="1605" t="s">
        <v>643</v>
      </c>
      <c r="H29" s="1605"/>
      <c r="I29" s="177">
        <v>10952891.960000001</v>
      </c>
      <c r="J29" s="177">
        <v>10952891.960000001</v>
      </c>
      <c r="K29" s="167"/>
    </row>
    <row r="30" spans="1:11">
      <c r="A30" s="168"/>
      <c r="B30" s="1605" t="s">
        <v>690</v>
      </c>
      <c r="C30" s="1605"/>
      <c r="D30" s="177">
        <f>+BALANCE!B28</f>
        <v>1758830</v>
      </c>
      <c r="E30" s="177">
        <v>1758830</v>
      </c>
      <c r="G30" s="1605" t="s">
        <v>711</v>
      </c>
      <c r="H30" s="1605"/>
      <c r="I30" s="177">
        <v>267530016.94</v>
      </c>
      <c r="J30" s="177">
        <v>267530016.94</v>
      </c>
      <c r="K30" s="167"/>
    </row>
    <row r="31" spans="1:11">
      <c r="A31" s="168"/>
      <c r="B31" s="1605" t="s">
        <v>692</v>
      </c>
      <c r="C31" s="1605"/>
      <c r="D31" s="177">
        <f>+BALANCE!B29</f>
        <v>0</v>
      </c>
      <c r="E31" s="177">
        <v>0</v>
      </c>
      <c r="G31" s="1605"/>
      <c r="H31" s="1605"/>
      <c r="I31" s="177"/>
      <c r="J31" s="177"/>
      <c r="K31" s="167"/>
    </row>
    <row r="32" spans="1:11">
      <c r="A32" s="168"/>
      <c r="B32" s="1605" t="s">
        <v>694</v>
      </c>
      <c r="C32" s="1605"/>
      <c r="D32" s="177">
        <f>+BALANCE!B30+BALANCE!B31+BALANCE!B32</f>
        <v>1006003271.84</v>
      </c>
      <c r="E32" s="177">
        <v>947679244.29999995</v>
      </c>
      <c r="G32" s="1609" t="s">
        <v>712</v>
      </c>
      <c r="H32" s="1609"/>
      <c r="I32" s="174">
        <f>SUM(I34:I35)</f>
        <v>903999678.57999992</v>
      </c>
      <c r="J32" s="174">
        <f>SUM(J34:J35)</f>
        <v>855388979.29000008</v>
      </c>
      <c r="K32" s="167"/>
    </row>
    <row r="33" spans="1:11">
      <c r="A33" s="168"/>
      <c r="B33" s="1605" t="s">
        <v>696</v>
      </c>
      <c r="C33" s="1605"/>
      <c r="D33" s="177">
        <f>+BALANCE!B33+BALANCE!B34+BALANCE!B35</f>
        <v>12366082.059999999</v>
      </c>
      <c r="E33" s="177">
        <v>12279237.109999999</v>
      </c>
      <c r="G33" s="172"/>
      <c r="H33" s="170"/>
      <c r="I33" s="187"/>
      <c r="J33" s="187"/>
      <c r="K33" s="167"/>
    </row>
    <row r="34" spans="1:11" ht="26.25" customHeight="1">
      <c r="A34" s="168"/>
      <c r="B34" s="1605" t="s">
        <v>698</v>
      </c>
      <c r="C34" s="1605"/>
      <c r="D34" s="177">
        <f>+BALANCE!B36</f>
        <v>9131355.4499999993</v>
      </c>
      <c r="E34" s="177">
        <v>8744971.7599999998</v>
      </c>
      <c r="G34" s="1605" t="s">
        <v>713</v>
      </c>
      <c r="H34" s="1605"/>
      <c r="I34" s="177">
        <f>+BALANCE!E38</f>
        <v>48610699.289999999</v>
      </c>
      <c r="J34" s="177">
        <v>82707402.840000004</v>
      </c>
      <c r="K34" s="167"/>
    </row>
    <row r="35" spans="1:11">
      <c r="A35" s="168"/>
      <c r="B35" s="1605" t="s">
        <v>699</v>
      </c>
      <c r="C35" s="1605"/>
      <c r="D35" s="177">
        <f>+BALANCE!B37+BALANCE!B38</f>
        <v>-40762395.579999998</v>
      </c>
      <c r="E35" s="177">
        <v>-35607398.879999995</v>
      </c>
      <c r="G35" s="1605" t="s">
        <v>714</v>
      </c>
      <c r="H35" s="1605"/>
      <c r="I35" s="177">
        <f>+BALANCE!E37</f>
        <v>855388979.28999996</v>
      </c>
      <c r="J35" s="177">
        <v>772681576.45000005</v>
      </c>
      <c r="K35" s="167"/>
    </row>
    <row r="36" spans="1:11">
      <c r="A36" s="168"/>
      <c r="B36" s="1605"/>
      <c r="C36" s="1605"/>
      <c r="D36" s="177"/>
      <c r="E36" s="177"/>
      <c r="G36" s="178"/>
      <c r="H36" s="179"/>
      <c r="I36" s="180"/>
      <c r="J36" s="180"/>
      <c r="K36" s="167"/>
    </row>
    <row r="37" spans="1:11">
      <c r="A37" s="168"/>
      <c r="B37" s="1605"/>
      <c r="C37" s="1605"/>
      <c r="D37" s="177"/>
      <c r="E37" s="177"/>
      <c r="G37" s="1609" t="s">
        <v>717</v>
      </c>
      <c r="H37" s="1609"/>
      <c r="I37" s="174">
        <f>SUM(I39:I40)</f>
        <v>20576226.51000002</v>
      </c>
      <c r="J37" s="174">
        <f>SUM(J39:J40)</f>
        <v>20576226.51000002</v>
      </c>
      <c r="K37" s="167"/>
    </row>
    <row r="38" spans="1:11">
      <c r="A38" s="168"/>
      <c r="B38" s="1605"/>
      <c r="C38" s="1605"/>
      <c r="D38" s="177"/>
      <c r="E38" s="177"/>
      <c r="G38" s="178"/>
      <c r="H38" s="170"/>
      <c r="I38" s="180"/>
      <c r="J38" s="180"/>
      <c r="K38" s="167"/>
    </row>
    <row r="39" spans="1:11">
      <c r="A39" s="168"/>
      <c r="B39" s="178"/>
      <c r="C39" s="179"/>
      <c r="D39" s="180"/>
      <c r="E39" s="180"/>
      <c r="G39" s="1605" t="s">
        <v>718</v>
      </c>
      <c r="H39" s="1605"/>
      <c r="I39" s="177">
        <v>-167471499.56999999</v>
      </c>
      <c r="J39" s="177">
        <v>-167471499.56999999</v>
      </c>
      <c r="K39" s="167"/>
    </row>
    <row r="40" spans="1:11">
      <c r="A40" s="181"/>
      <c r="F40" s="182"/>
      <c r="G40" s="1605" t="s">
        <v>719</v>
      </c>
      <c r="H40" s="1605"/>
      <c r="I40" s="177">
        <v>188047726.08000001</v>
      </c>
      <c r="J40" s="177">
        <v>188047726.08000001</v>
      </c>
      <c r="K40" s="167"/>
    </row>
    <row r="41" spans="1:11">
      <c r="A41" s="168"/>
      <c r="G41" s="178"/>
      <c r="H41" s="188"/>
      <c r="I41" s="180"/>
      <c r="J41" s="180"/>
      <c r="K41" s="167"/>
    </row>
    <row r="42" spans="1:11">
      <c r="A42" s="168"/>
      <c r="B42" s="1609" t="s">
        <v>706</v>
      </c>
      <c r="C42" s="1609"/>
      <c r="D42" s="174">
        <f>SUM(D30:D41)</f>
        <v>988497143.76999998</v>
      </c>
      <c r="E42" s="174">
        <f>SUM(E30:E41)</f>
        <v>934854884.28999996</v>
      </c>
      <c r="G42" s="1609" t="s">
        <v>720</v>
      </c>
      <c r="H42" s="1609"/>
      <c r="I42" s="174">
        <f>I27+I32+I37</f>
        <v>1203058813.99</v>
      </c>
      <c r="J42" s="174">
        <f>J27+J32+J37</f>
        <v>1154448114.7</v>
      </c>
      <c r="K42" s="167"/>
    </row>
    <row r="43" spans="1:11">
      <c r="A43" s="168"/>
      <c r="B43" s="178"/>
      <c r="C43" s="172"/>
      <c r="D43" s="180"/>
      <c r="E43" s="180"/>
      <c r="G43" s="178"/>
      <c r="H43" s="170"/>
      <c r="I43" s="180"/>
      <c r="J43" s="180"/>
      <c r="K43" s="167"/>
    </row>
    <row r="44" spans="1:11">
      <c r="A44" s="168"/>
      <c r="B44" s="781" t="s">
        <v>708</v>
      </c>
      <c r="C44" s="781"/>
      <c r="D44" s="174">
        <f>D22+D42</f>
        <v>1205776920.9099998</v>
      </c>
      <c r="E44" s="174">
        <f>E22+E42</f>
        <v>1157748367.0799999</v>
      </c>
      <c r="G44" s="1609" t="s">
        <v>721</v>
      </c>
      <c r="H44" s="1609"/>
      <c r="I44" s="174">
        <f>I22+I42</f>
        <v>1205776920.9100001</v>
      </c>
      <c r="J44" s="174">
        <f>J22+J42</f>
        <v>1157748367.0800002</v>
      </c>
      <c r="K44" s="167"/>
    </row>
    <row r="45" spans="1:11" ht="6" customHeight="1">
      <c r="A45" s="189"/>
      <c r="B45" s="190"/>
      <c r="C45" s="190"/>
      <c r="D45" s="190"/>
      <c r="E45" s="190"/>
      <c r="F45" s="191"/>
      <c r="G45" s="190"/>
      <c r="H45" s="190"/>
      <c r="I45" s="190"/>
      <c r="J45" s="190"/>
      <c r="K45" s="192"/>
    </row>
    <row r="46" spans="1:11" ht="6" customHeight="1">
      <c r="B46" s="170"/>
      <c r="C46" s="193"/>
      <c r="D46" s="194"/>
      <c r="E46" s="194"/>
      <c r="G46" s="195"/>
      <c r="H46" s="193"/>
      <c r="I46" s="194"/>
      <c r="J46" s="194"/>
    </row>
    <row r="47" spans="1:11" ht="6" customHeight="1">
      <c r="A47" s="196"/>
      <c r="B47" s="197"/>
      <c r="C47" s="198"/>
      <c r="D47" s="199"/>
      <c r="E47" s="199"/>
      <c r="F47" s="191"/>
      <c r="G47" s="200"/>
      <c r="H47" s="198"/>
      <c r="I47" s="199"/>
      <c r="J47" s="199"/>
    </row>
    <row r="48" spans="1:11" ht="6" customHeight="1">
      <c r="B48" s="170"/>
      <c r="C48" s="193"/>
      <c r="D48" s="194"/>
      <c r="E48" s="194"/>
      <c r="G48" s="195"/>
      <c r="H48" s="193"/>
      <c r="I48" s="194"/>
      <c r="J48" s="194"/>
    </row>
    <row r="49" spans="2:10" ht="15" customHeight="1">
      <c r="B49" s="1612" t="s">
        <v>664</v>
      </c>
      <c r="C49" s="1612"/>
      <c r="D49" s="1612"/>
      <c r="E49" s="1612"/>
      <c r="F49" s="1612"/>
      <c r="G49" s="1612"/>
      <c r="H49" s="1612"/>
      <c r="I49" s="1612"/>
      <c r="J49" s="1612"/>
    </row>
    <row r="50" spans="2:10" ht="9.75" customHeight="1">
      <c r="B50" s="170"/>
      <c r="C50" s="193"/>
      <c r="D50" s="194"/>
      <c r="E50" s="194"/>
      <c r="G50" s="195"/>
      <c r="H50" s="193"/>
      <c r="I50" s="194"/>
      <c r="J50" s="194"/>
    </row>
    <row r="51" spans="2:10" ht="50.1" customHeight="1">
      <c r="B51" s="170"/>
      <c r="C51" s="1613"/>
      <c r="D51" s="1613"/>
      <c r="E51" s="194"/>
      <c r="G51" s="1614"/>
      <c r="H51" s="1614"/>
      <c r="I51" s="194"/>
      <c r="J51" s="194"/>
    </row>
    <row r="52" spans="2:10" ht="14.1" customHeight="1">
      <c r="B52" s="201"/>
      <c r="C52" s="1615" t="s">
        <v>2867</v>
      </c>
      <c r="D52" s="1615"/>
      <c r="E52" s="194"/>
      <c r="F52" s="202"/>
      <c r="G52" s="1615" t="s">
        <v>665</v>
      </c>
      <c r="H52" s="1615"/>
      <c r="I52" s="171"/>
      <c r="J52" s="194"/>
    </row>
    <row r="53" spans="2:10" ht="14.1" customHeight="1">
      <c r="B53" s="203"/>
      <c r="C53" s="1610" t="s">
        <v>1765</v>
      </c>
      <c r="D53" s="1610"/>
      <c r="E53" s="204"/>
      <c r="F53" s="202"/>
      <c r="G53" s="1610" t="s">
        <v>666</v>
      </c>
      <c r="H53" s="1610"/>
      <c r="I53" s="171"/>
      <c r="J53" s="194"/>
    </row>
  </sheetData>
  <sheetProtection formatCells="0" selectLockedCells="1"/>
  <mergeCells count="55">
    <mergeCell ref="C53:D53"/>
    <mergeCell ref="G53:H53"/>
    <mergeCell ref="G44:H44"/>
    <mergeCell ref="B49:J49"/>
    <mergeCell ref="C51:D51"/>
    <mergeCell ref="G51:H51"/>
    <mergeCell ref="C52:D52"/>
    <mergeCell ref="G52:H52"/>
    <mergeCell ref="B42:C42"/>
    <mergeCell ref="G25:H25"/>
    <mergeCell ref="G42:H42"/>
    <mergeCell ref="G29:H29"/>
    <mergeCell ref="G30:H30"/>
    <mergeCell ref="G32:H32"/>
    <mergeCell ref="G34:H34"/>
    <mergeCell ref="G35:H35"/>
    <mergeCell ref="G37:H37"/>
    <mergeCell ref="G39:H39"/>
    <mergeCell ref="G40:H40"/>
    <mergeCell ref="B34:C34"/>
    <mergeCell ref="B35:C35"/>
    <mergeCell ref="B36:C36"/>
    <mergeCell ref="B37:C37"/>
    <mergeCell ref="B38:C38"/>
    <mergeCell ref="B31:C31"/>
    <mergeCell ref="G31:H31"/>
    <mergeCell ref="B32:C32"/>
    <mergeCell ref="B33:C33"/>
    <mergeCell ref="G27:H27"/>
    <mergeCell ref="B18:C18"/>
    <mergeCell ref="G18:H18"/>
    <mergeCell ref="B19:C19"/>
    <mergeCell ref="B30:C30"/>
    <mergeCell ref="B21:C21"/>
    <mergeCell ref="G19:H19"/>
    <mergeCell ref="B20:C20"/>
    <mergeCell ref="G24:H24"/>
    <mergeCell ref="B22:C22"/>
    <mergeCell ref="G20:H20"/>
    <mergeCell ref="B28:C28"/>
    <mergeCell ref="G22:H22"/>
    <mergeCell ref="B13:C13"/>
    <mergeCell ref="G13:H13"/>
    <mergeCell ref="B15:C15"/>
    <mergeCell ref="G15:H15"/>
    <mergeCell ref="B17:C17"/>
    <mergeCell ref="G17:H17"/>
    <mergeCell ref="A9:A10"/>
    <mergeCell ref="B9:C10"/>
    <mergeCell ref="F9:F10"/>
    <mergeCell ref="G9:H10"/>
    <mergeCell ref="C3:I3"/>
    <mergeCell ref="C4:I4"/>
    <mergeCell ref="C5:I5"/>
    <mergeCell ref="C6:I6"/>
  </mergeCells>
  <printOptions horizontalCentered="1" verticalCentered="1"/>
  <pageMargins left="0" right="0" top="0.94488188976377963" bottom="0.59055118110236227" header="0" footer="0"/>
  <pageSetup scale="79" orientation="landscape" r:id="rId1"/>
  <ignoredErrors>
    <ignoredError sqref="I17:I19 I34:I35 D30:D35 D17:D18 D2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7C43-F3EB-48F6-9E4E-CADF101A0693}">
  <sheetPr>
    <pageSetUpPr fitToPage="1"/>
  </sheetPr>
  <dimension ref="A1:H54"/>
  <sheetViews>
    <sheetView topLeftCell="A40" workbookViewId="0">
      <selection activeCell="G39" sqref="G39:G40"/>
    </sheetView>
  </sheetViews>
  <sheetFormatPr baseColWidth="10" defaultColWidth="11.5703125" defaultRowHeight="15"/>
  <cols>
    <col min="1" max="1" width="2.7109375" style="813" customWidth="1"/>
    <col min="2" max="2" width="38.140625" style="813" customWidth="1"/>
    <col min="3" max="4" width="14.7109375" style="814" customWidth="1"/>
    <col min="5" max="5" width="7.85546875" style="813" customWidth="1"/>
    <col min="6" max="6" width="35.140625" style="813" customWidth="1"/>
    <col min="7" max="8" width="14.7109375" style="814" customWidth="1"/>
    <col min="9" max="16384" width="11.5703125" style="813"/>
  </cols>
  <sheetData>
    <row r="1" spans="2:8" ht="16.899999999999999" customHeight="1" thickBot="1"/>
    <row r="2" spans="2:8" ht="16.899999999999999" customHeight="1">
      <c r="B2" s="1643" t="s">
        <v>2987</v>
      </c>
      <c r="C2" s="1644"/>
      <c r="D2" s="1644"/>
      <c r="E2" s="1644"/>
      <c r="F2" s="1644"/>
      <c r="G2" s="1644"/>
      <c r="H2" s="1645"/>
    </row>
    <row r="3" spans="2:8">
      <c r="B3" s="1621" t="s">
        <v>667</v>
      </c>
      <c r="C3" s="1622"/>
      <c r="D3" s="1622"/>
      <c r="E3" s="1622"/>
      <c r="F3" s="1622"/>
      <c r="G3" s="1622"/>
      <c r="H3" s="1623"/>
    </row>
    <row r="4" spans="2:8" ht="15.75" thickBot="1">
      <c r="B4" s="1624"/>
      <c r="C4" s="1625"/>
      <c r="D4" s="1625"/>
      <c r="E4" s="1625"/>
      <c r="F4" s="1625"/>
      <c r="G4" s="1625"/>
      <c r="H4" s="1626"/>
    </row>
    <row r="5" spans="2:8">
      <c r="B5" s="837" t="s">
        <v>1018</v>
      </c>
      <c r="C5" s="838" t="s">
        <v>5631</v>
      </c>
      <c r="D5" s="838" t="s">
        <v>4723</v>
      </c>
      <c r="E5" s="839"/>
      <c r="F5" s="839" t="s">
        <v>669</v>
      </c>
      <c r="G5" s="838" t="s">
        <v>5631</v>
      </c>
      <c r="H5" s="840" t="s">
        <v>4723</v>
      </c>
    </row>
    <row r="6" spans="2:8">
      <c r="B6" s="1646"/>
      <c r="C6" s="1647"/>
      <c r="D6" s="1647"/>
      <c r="E6" s="841"/>
      <c r="F6" s="1647"/>
      <c r="G6" s="1647"/>
      <c r="H6" s="1648"/>
    </row>
    <row r="7" spans="2:8">
      <c r="B7" s="792" t="s">
        <v>670</v>
      </c>
      <c r="C7" s="842"/>
      <c r="D7" s="842"/>
      <c r="E7" s="841"/>
      <c r="F7" s="843" t="s">
        <v>671</v>
      </c>
      <c r="G7" s="844"/>
      <c r="H7" s="816"/>
    </row>
    <row r="8" spans="2:8">
      <c r="B8" s="817" t="s">
        <v>672</v>
      </c>
      <c r="C8" s="790">
        <f>+ESF!D17</f>
        <v>204262855.45999998</v>
      </c>
      <c r="D8" s="790">
        <f>+ESF!E17</f>
        <v>192432921.41000003</v>
      </c>
      <c r="E8" s="841"/>
      <c r="F8" s="845" t="s">
        <v>673</v>
      </c>
      <c r="G8" s="790">
        <f>+ESF!I17</f>
        <v>2718060.53</v>
      </c>
      <c r="H8" s="791">
        <f>+ESF!J17</f>
        <v>3290802.8</v>
      </c>
    </row>
    <row r="9" spans="2:8" ht="23.45" customHeight="1">
      <c r="B9" s="818" t="s">
        <v>674</v>
      </c>
      <c r="C9" s="790">
        <f>+ESF!D18</f>
        <v>12535750.810000001</v>
      </c>
      <c r="D9" s="790">
        <f>+ESF!E18</f>
        <v>30004506.859999999</v>
      </c>
      <c r="E9" s="846"/>
      <c r="F9" s="847" t="s">
        <v>675</v>
      </c>
      <c r="G9" s="790">
        <f>+ESF!I18</f>
        <v>0</v>
      </c>
      <c r="H9" s="791">
        <f>+ESF!J18</f>
        <v>0</v>
      </c>
    </row>
    <row r="10" spans="2:8" ht="24">
      <c r="B10" s="817" t="s">
        <v>676</v>
      </c>
      <c r="C10" s="790">
        <f>+ESF!D19</f>
        <v>312349.13</v>
      </c>
      <c r="D10" s="790">
        <f>+ESF!E19</f>
        <v>292951.38</v>
      </c>
      <c r="E10" s="841"/>
      <c r="F10" s="845" t="s">
        <v>677</v>
      </c>
      <c r="G10" s="790">
        <v>0</v>
      </c>
      <c r="H10" s="791">
        <v>0</v>
      </c>
    </row>
    <row r="11" spans="2:8">
      <c r="B11" s="817" t="s">
        <v>4734</v>
      </c>
      <c r="C11" s="790">
        <v>0</v>
      </c>
      <c r="D11" s="790">
        <v>0</v>
      </c>
      <c r="E11" s="841"/>
      <c r="F11" s="845" t="s">
        <v>679</v>
      </c>
      <c r="G11" s="790">
        <v>0</v>
      </c>
      <c r="H11" s="791">
        <v>0</v>
      </c>
    </row>
    <row r="12" spans="2:8">
      <c r="B12" s="817" t="s">
        <v>680</v>
      </c>
      <c r="C12" s="790">
        <v>0</v>
      </c>
      <c r="D12" s="790">
        <v>0</v>
      </c>
      <c r="E12" s="841"/>
      <c r="F12" s="845" t="s">
        <v>681</v>
      </c>
      <c r="G12" s="790">
        <f>+ESF!I19</f>
        <v>46.39</v>
      </c>
      <c r="H12" s="791">
        <f>+ESF!J19</f>
        <v>9449.58</v>
      </c>
    </row>
    <row r="13" spans="2:8" ht="24">
      <c r="B13" s="817" t="s">
        <v>682</v>
      </c>
      <c r="C13" s="790">
        <v>0</v>
      </c>
      <c r="D13" s="790">
        <v>0</v>
      </c>
      <c r="E13" s="841"/>
      <c r="F13" s="845" t="s">
        <v>4735</v>
      </c>
      <c r="G13" s="790">
        <v>0</v>
      </c>
      <c r="H13" s="791">
        <v>0</v>
      </c>
    </row>
    <row r="14" spans="2:8">
      <c r="B14" s="817" t="s">
        <v>4736</v>
      </c>
      <c r="C14" s="790">
        <f>+ESF!D20</f>
        <v>168821.74</v>
      </c>
      <c r="D14" s="790">
        <f>+ESF!E20</f>
        <v>163103.14000000001</v>
      </c>
      <c r="E14" s="841"/>
      <c r="F14" s="845" t="s">
        <v>684</v>
      </c>
      <c r="G14" s="790">
        <v>0</v>
      </c>
      <c r="H14" s="791">
        <v>0</v>
      </c>
    </row>
    <row r="15" spans="2:8">
      <c r="B15" s="817"/>
      <c r="C15" s="793"/>
      <c r="D15" s="793"/>
      <c r="E15" s="848"/>
      <c r="F15" s="845" t="s">
        <v>685</v>
      </c>
      <c r="G15" s="790">
        <v>0</v>
      </c>
      <c r="H15" s="791">
        <v>0</v>
      </c>
    </row>
    <row r="16" spans="2:8">
      <c r="B16" s="820" t="s">
        <v>4737</v>
      </c>
      <c r="C16" s="821">
        <f>SUM(C8:C14)</f>
        <v>217279777.13999999</v>
      </c>
      <c r="D16" s="821">
        <f>SUM(D8:D14)</f>
        <v>222893482.79000002</v>
      </c>
      <c r="E16" s="841"/>
      <c r="F16" s="845"/>
      <c r="G16" s="849"/>
      <c r="H16" s="822"/>
    </row>
    <row r="17" spans="2:8">
      <c r="B17" s="820"/>
      <c r="C17" s="849"/>
      <c r="D17" s="849"/>
      <c r="E17" s="841"/>
      <c r="F17" s="850" t="s">
        <v>687</v>
      </c>
      <c r="G17" s="821">
        <f>SUM(G8:G15)</f>
        <v>2718106.92</v>
      </c>
      <c r="H17" s="823">
        <f>SUM(H8:H15)</f>
        <v>3300252.38</v>
      </c>
    </row>
    <row r="18" spans="2:8" ht="16.899999999999999" customHeight="1">
      <c r="B18" s="787" t="s">
        <v>688</v>
      </c>
      <c r="C18" s="851"/>
      <c r="D18" s="851"/>
      <c r="E18" s="848"/>
      <c r="F18" s="850"/>
      <c r="G18" s="852"/>
      <c r="H18" s="824"/>
    </row>
    <row r="19" spans="2:8" ht="16.899999999999999" customHeight="1">
      <c r="B19" s="817" t="s">
        <v>690</v>
      </c>
      <c r="C19" s="790">
        <f>+ESF!D30</f>
        <v>1758830</v>
      </c>
      <c r="D19" s="790">
        <f>+ESF!E30</f>
        <v>1758830</v>
      </c>
      <c r="E19" s="841"/>
      <c r="F19" s="843" t="s">
        <v>689</v>
      </c>
      <c r="G19" s="851"/>
      <c r="H19" s="825"/>
    </row>
    <row r="20" spans="2:8" ht="24">
      <c r="B20" s="817" t="s">
        <v>692</v>
      </c>
      <c r="C20" s="790">
        <f>+ESF!D31</f>
        <v>0</v>
      </c>
      <c r="D20" s="790">
        <f>+ESF!E31</f>
        <v>0</v>
      </c>
      <c r="E20" s="841"/>
      <c r="F20" s="845" t="s">
        <v>691</v>
      </c>
      <c r="G20" s="853">
        <v>0</v>
      </c>
      <c r="H20" s="826">
        <v>0</v>
      </c>
    </row>
    <row r="21" spans="2:8" ht="24">
      <c r="B21" s="817" t="s">
        <v>694</v>
      </c>
      <c r="C21" s="790">
        <f>+ESF!D32</f>
        <v>1006003271.84</v>
      </c>
      <c r="D21" s="790">
        <f>+ESF!E32</f>
        <v>947679244.29999995</v>
      </c>
      <c r="E21" s="841"/>
      <c r="F21" s="845" t="s">
        <v>693</v>
      </c>
      <c r="G21" s="853">
        <v>0</v>
      </c>
      <c r="H21" s="826">
        <v>0</v>
      </c>
    </row>
    <row r="22" spans="2:8">
      <c r="B22" s="817" t="s">
        <v>696</v>
      </c>
      <c r="C22" s="790">
        <f>+ESF!D33</f>
        <v>12366082.059999999</v>
      </c>
      <c r="D22" s="790">
        <f>+ESF!E33</f>
        <v>12279237.109999999</v>
      </c>
      <c r="E22" s="841"/>
      <c r="F22" s="845" t="s">
        <v>695</v>
      </c>
      <c r="G22" s="853">
        <v>0</v>
      </c>
      <c r="H22" s="826">
        <v>0</v>
      </c>
    </row>
    <row r="23" spans="2:8">
      <c r="B23" s="817" t="s">
        <v>698</v>
      </c>
      <c r="C23" s="790">
        <f>+ESF!D34</f>
        <v>9131355.4499999993</v>
      </c>
      <c r="D23" s="790">
        <f>+ESF!E34</f>
        <v>8744971.7599999998</v>
      </c>
      <c r="E23" s="841"/>
      <c r="F23" s="845" t="s">
        <v>697</v>
      </c>
      <c r="G23" s="790">
        <v>0</v>
      </c>
      <c r="H23" s="791">
        <v>0</v>
      </c>
    </row>
    <row r="24" spans="2:8" ht="24">
      <c r="B24" s="817" t="s">
        <v>699</v>
      </c>
      <c r="C24" s="790">
        <f>+ESF!D35</f>
        <v>-40762395.579999998</v>
      </c>
      <c r="D24" s="790">
        <f>+ESF!E35</f>
        <v>-35607398.879999995</v>
      </c>
      <c r="E24" s="841"/>
      <c r="F24" s="845" t="s">
        <v>4738</v>
      </c>
      <c r="G24" s="853">
        <v>0</v>
      </c>
      <c r="H24" s="826">
        <v>0</v>
      </c>
    </row>
    <row r="25" spans="2:8">
      <c r="B25" s="817" t="s">
        <v>701</v>
      </c>
      <c r="C25" s="790">
        <v>0</v>
      </c>
      <c r="D25" s="790">
        <v>0</v>
      </c>
      <c r="E25" s="841"/>
      <c r="F25" s="845" t="s">
        <v>700</v>
      </c>
      <c r="G25" s="853">
        <v>0</v>
      </c>
      <c r="H25" s="826">
        <v>0</v>
      </c>
    </row>
    <row r="26" spans="2:8" ht="24">
      <c r="B26" s="817" t="s">
        <v>702</v>
      </c>
      <c r="C26" s="790">
        <v>0</v>
      </c>
      <c r="D26" s="790">
        <v>0</v>
      </c>
      <c r="E26" s="841"/>
      <c r="F26" s="845"/>
      <c r="G26" s="849"/>
      <c r="H26" s="822"/>
    </row>
    <row r="27" spans="2:8">
      <c r="B27" s="817"/>
      <c r="C27" s="849"/>
      <c r="D27" s="849"/>
      <c r="E27" s="841"/>
      <c r="F27" s="850" t="s">
        <v>703</v>
      </c>
      <c r="G27" s="821">
        <f>SUM(G20:G25)</f>
        <v>0</v>
      </c>
      <c r="H27" s="823">
        <f>SUM(H20:H25)</f>
        <v>0</v>
      </c>
    </row>
    <row r="28" spans="2:8">
      <c r="B28" s="817" t="s">
        <v>704</v>
      </c>
      <c r="C28" s="790">
        <v>0</v>
      </c>
      <c r="D28" s="853">
        <v>0</v>
      </c>
      <c r="E28" s="841"/>
      <c r="F28" s="850"/>
      <c r="G28" s="852"/>
      <c r="H28" s="824"/>
    </row>
    <row r="29" spans="2:8">
      <c r="B29" s="827"/>
      <c r="C29" s="849"/>
      <c r="D29" s="849"/>
      <c r="E29" s="841"/>
      <c r="F29" s="854" t="s">
        <v>4739</v>
      </c>
      <c r="G29" s="851">
        <f>SUM(G27,G17)</f>
        <v>2718106.92</v>
      </c>
      <c r="H29" s="825">
        <f>SUM(H27,H17)</f>
        <v>3300252.38</v>
      </c>
    </row>
    <row r="30" spans="2:8">
      <c r="B30" s="820" t="s">
        <v>4740</v>
      </c>
      <c r="C30" s="849">
        <f>SUM(C19:C28)</f>
        <v>988497143.76999998</v>
      </c>
      <c r="D30" s="849">
        <f>SUM(D19:D28)</f>
        <v>934854884.28999996</v>
      </c>
      <c r="E30" s="841"/>
      <c r="F30" s="854"/>
      <c r="G30" s="855"/>
      <c r="H30" s="828"/>
    </row>
    <row r="31" spans="2:8">
      <c r="B31" s="827"/>
      <c r="C31" s="793"/>
      <c r="D31" s="793"/>
      <c r="E31" s="841"/>
      <c r="F31" s="843" t="s">
        <v>4741</v>
      </c>
      <c r="G31" s="851"/>
      <c r="H31" s="825"/>
    </row>
    <row r="32" spans="2:8">
      <c r="B32" s="829" t="s">
        <v>708</v>
      </c>
      <c r="C32" s="851">
        <f>SUM(C30,C16)</f>
        <v>1205776920.9099998</v>
      </c>
      <c r="D32" s="851">
        <f>SUM(D30,D16)</f>
        <v>1157748367.0799999</v>
      </c>
      <c r="E32" s="841"/>
      <c r="F32" s="843"/>
      <c r="G32" s="851"/>
      <c r="H32" s="825"/>
    </row>
    <row r="33" spans="2:8">
      <c r="B33" s="827"/>
      <c r="C33" s="830"/>
      <c r="D33" s="830"/>
      <c r="E33" s="841"/>
      <c r="F33" s="854" t="s">
        <v>709</v>
      </c>
      <c r="G33" s="851">
        <f>SUM(G34:G36)</f>
        <v>278482908.89999998</v>
      </c>
      <c r="H33" s="825">
        <f>SUM(H34:H36)</f>
        <v>278482908.89999998</v>
      </c>
    </row>
    <row r="34" spans="2:8">
      <c r="B34" s="1641"/>
      <c r="C34" s="1642"/>
      <c r="D34" s="1642"/>
      <c r="E34" s="841"/>
      <c r="F34" s="845" t="s">
        <v>643</v>
      </c>
      <c r="G34" s="790">
        <f>+ESF!I29</f>
        <v>10952891.960000001</v>
      </c>
      <c r="H34" s="791">
        <f>+ESF!J29</f>
        <v>10952891.960000001</v>
      </c>
    </row>
    <row r="35" spans="2:8">
      <c r="B35" s="1641"/>
      <c r="C35" s="1642"/>
      <c r="D35" s="1642"/>
      <c r="E35" s="841"/>
      <c r="F35" s="845" t="s">
        <v>710</v>
      </c>
      <c r="G35" s="790">
        <v>0</v>
      </c>
      <c r="H35" s="791">
        <v>0</v>
      </c>
    </row>
    <row r="36" spans="2:8" ht="24">
      <c r="B36" s="1641"/>
      <c r="C36" s="1642"/>
      <c r="D36" s="1642"/>
      <c r="E36" s="841"/>
      <c r="F36" s="845" t="s">
        <v>759</v>
      </c>
      <c r="G36" s="790">
        <f>+ESF!I30</f>
        <v>267530016.94</v>
      </c>
      <c r="H36" s="791">
        <f>+ESF!J30</f>
        <v>267530016.94</v>
      </c>
    </row>
    <row r="37" spans="2:8">
      <c r="B37" s="1649"/>
      <c r="C37" s="1650"/>
      <c r="D37" s="1650"/>
      <c r="E37" s="841"/>
      <c r="F37" s="843"/>
      <c r="G37" s="788"/>
      <c r="H37" s="789"/>
    </row>
    <row r="38" spans="2:8" ht="16.899999999999999" customHeight="1">
      <c r="B38" s="1646"/>
      <c r="C38" s="1647"/>
      <c r="D38" s="1647"/>
      <c r="E38" s="856"/>
      <c r="F38" s="854" t="s">
        <v>712</v>
      </c>
      <c r="G38" s="788">
        <f>SUM(G39:G43)</f>
        <v>903999678.57999992</v>
      </c>
      <c r="H38" s="789">
        <f>SUM(H39:H43)</f>
        <v>855388979.29000008</v>
      </c>
    </row>
    <row r="39" spans="2:8" ht="24">
      <c r="B39" s="1649"/>
      <c r="C39" s="1650"/>
      <c r="D39" s="1650"/>
      <c r="E39" s="841"/>
      <c r="F39" s="845" t="s">
        <v>4742</v>
      </c>
      <c r="G39" s="790">
        <f>+ESF!I34</f>
        <v>48610699.289999999</v>
      </c>
      <c r="H39" s="791">
        <f>+ESF!J34</f>
        <v>82707402.840000004</v>
      </c>
    </row>
    <row r="40" spans="2:8">
      <c r="B40" s="1649"/>
      <c r="C40" s="1650"/>
      <c r="D40" s="1650"/>
      <c r="E40" s="841"/>
      <c r="F40" s="845" t="s">
        <v>714</v>
      </c>
      <c r="G40" s="790">
        <f>+ESF!I35</f>
        <v>855388979.28999996</v>
      </c>
      <c r="H40" s="791">
        <f>+ESF!J35</f>
        <v>772681576.45000005</v>
      </c>
    </row>
    <row r="41" spans="2:8">
      <c r="B41" s="1649"/>
      <c r="C41" s="1650"/>
      <c r="D41" s="1650"/>
      <c r="E41" s="841"/>
      <c r="F41" s="845" t="s">
        <v>715</v>
      </c>
      <c r="G41" s="853">
        <v>0</v>
      </c>
      <c r="H41" s="826">
        <v>0</v>
      </c>
    </row>
    <row r="42" spans="2:8" ht="17.45" customHeight="1">
      <c r="B42" s="1649"/>
      <c r="C42" s="1650"/>
      <c r="D42" s="1650"/>
      <c r="E42" s="841"/>
      <c r="F42" s="845" t="s">
        <v>716</v>
      </c>
      <c r="G42" s="853">
        <v>0</v>
      </c>
      <c r="H42" s="826">
        <v>0</v>
      </c>
    </row>
    <row r="43" spans="2:8" ht="24">
      <c r="B43" s="1649"/>
      <c r="C43" s="1650"/>
      <c r="D43" s="1650"/>
      <c r="E43" s="841"/>
      <c r="F43" s="845" t="s">
        <v>231</v>
      </c>
      <c r="G43" s="790">
        <v>0</v>
      </c>
      <c r="H43" s="791">
        <v>0</v>
      </c>
    </row>
    <row r="44" spans="2:8">
      <c r="B44" s="1641"/>
      <c r="C44" s="1642"/>
      <c r="D44" s="1642"/>
      <c r="E44" s="841"/>
      <c r="F44" s="843"/>
      <c r="G44" s="788"/>
      <c r="H44" s="789"/>
    </row>
    <row r="45" spans="2:8" ht="36">
      <c r="B45" s="1646"/>
      <c r="C45" s="1647"/>
      <c r="D45" s="1647"/>
      <c r="E45" s="848"/>
      <c r="F45" s="854" t="s">
        <v>723</v>
      </c>
      <c r="G45" s="788">
        <f>SUM(G46:G47)</f>
        <v>20576226.51000002</v>
      </c>
      <c r="H45" s="789">
        <f>SUM(H46:H47)</f>
        <v>20576226.51000002</v>
      </c>
    </row>
    <row r="46" spans="2:8">
      <c r="B46" s="1641"/>
      <c r="C46" s="1642"/>
      <c r="D46" s="1642"/>
      <c r="E46" s="841"/>
      <c r="F46" s="845" t="s">
        <v>718</v>
      </c>
      <c r="G46" s="790">
        <f>+ESF!I39</f>
        <v>-167471499.56999999</v>
      </c>
      <c r="H46" s="791">
        <f>+ESF!J39</f>
        <v>-167471499.56999999</v>
      </c>
    </row>
    <row r="47" spans="2:8" ht="24">
      <c r="B47" s="1641"/>
      <c r="C47" s="1642"/>
      <c r="D47" s="1642"/>
      <c r="E47" s="841"/>
      <c r="F47" s="845" t="s">
        <v>719</v>
      </c>
      <c r="G47" s="790">
        <f>+ESF!I40</f>
        <v>188047726.08000001</v>
      </c>
      <c r="H47" s="791">
        <f>+ESF!J40</f>
        <v>188047726.08000001</v>
      </c>
    </row>
    <row r="48" spans="2:8">
      <c r="B48" s="1649"/>
      <c r="C48" s="1650"/>
      <c r="D48" s="1650"/>
      <c r="E48" s="841"/>
      <c r="F48" s="843"/>
      <c r="G48" s="831"/>
      <c r="H48" s="832"/>
    </row>
    <row r="49" spans="1:8">
      <c r="B49" s="1646"/>
      <c r="C49" s="1647"/>
      <c r="D49" s="1647"/>
      <c r="E49" s="848"/>
      <c r="F49" s="850" t="s">
        <v>4743</v>
      </c>
      <c r="G49" s="821">
        <f>SUM(G45,G38,G33)</f>
        <v>1203058813.9899998</v>
      </c>
      <c r="H49" s="823">
        <f>SUM(H45,H38,H33)</f>
        <v>1154448114.7</v>
      </c>
    </row>
    <row r="50" spans="1:8">
      <c r="B50" s="1649"/>
      <c r="C50" s="1650"/>
      <c r="D50" s="1650"/>
      <c r="E50" s="841"/>
      <c r="F50" s="843"/>
      <c r="G50" s="788"/>
      <c r="H50" s="789"/>
    </row>
    <row r="51" spans="1:8" ht="24">
      <c r="B51" s="1646"/>
      <c r="C51" s="1647"/>
      <c r="D51" s="1647"/>
      <c r="E51" s="848"/>
      <c r="F51" s="854" t="s">
        <v>4744</v>
      </c>
      <c r="G51" s="851">
        <f>SUM(G49,G29)</f>
        <v>1205776920.9099998</v>
      </c>
      <c r="H51" s="825">
        <f>SUM(H49,H29)</f>
        <v>1157748367.0800002</v>
      </c>
    </row>
    <row r="52" spans="1:8" ht="15.75" thickBot="1">
      <c r="A52" s="833" t="s">
        <v>4745</v>
      </c>
      <c r="B52" s="1653"/>
      <c r="C52" s="1651"/>
      <c r="D52" s="1651"/>
      <c r="E52" s="834"/>
      <c r="F52" s="1651"/>
      <c r="G52" s="1651"/>
      <c r="H52" s="1652"/>
    </row>
    <row r="54" spans="1:8" ht="16.899999999999999" customHeight="1">
      <c r="B54" s="835"/>
      <c r="C54" s="836"/>
      <c r="D54" s="836"/>
      <c r="E54" s="835"/>
      <c r="F54" s="835"/>
      <c r="G54" s="836"/>
      <c r="H54" s="836"/>
    </row>
  </sheetData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L100"/>
  <sheetViews>
    <sheetView topLeftCell="A64" zoomScaleNormal="100" zoomScalePageLayoutView="80" workbookViewId="0">
      <selection activeCell="E46" sqref="E46"/>
    </sheetView>
  </sheetViews>
  <sheetFormatPr baseColWidth="10" defaultRowHeight="12"/>
  <cols>
    <col min="1" max="1" width="3" style="157" customWidth="1"/>
    <col min="2" max="2" width="2.7109375" style="156" customWidth="1"/>
    <col min="3" max="3" width="48.85546875" style="157" customWidth="1"/>
    <col min="4" max="5" width="21" style="157" customWidth="1"/>
    <col min="6" max="6" width="11" style="158" customWidth="1"/>
    <col min="7" max="7" width="2.7109375" style="157" customWidth="1"/>
    <col min="8" max="8" width="51.42578125" style="157" customWidth="1"/>
    <col min="9" max="10" width="21" style="157" customWidth="1"/>
    <col min="11" max="11" width="4.85546875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39" t="s">
        <v>2987</v>
      </c>
      <c r="D3" s="1639"/>
      <c r="E3" s="1639"/>
      <c r="F3" s="1639"/>
      <c r="G3" s="1639"/>
      <c r="H3" s="1639"/>
      <c r="I3" s="1639"/>
      <c r="J3" s="159"/>
      <c r="K3" s="159"/>
    </row>
    <row r="4" spans="1:12" ht="14.1" customHeight="1">
      <c r="B4" s="451"/>
      <c r="C4" s="1639" t="s">
        <v>667</v>
      </c>
      <c r="D4" s="1639"/>
      <c r="E4" s="1639"/>
      <c r="F4" s="1639"/>
      <c r="G4" s="1639"/>
      <c r="H4" s="1639"/>
      <c r="I4" s="1639"/>
      <c r="J4" s="159"/>
      <c r="K4" s="159"/>
    </row>
    <row r="5" spans="1:12" ht="14.1" customHeight="1">
      <c r="B5" s="451"/>
      <c r="C5" s="1639" t="str">
        <f>+ESF!C5</f>
        <v>Al 31 de diciembre de 2021</v>
      </c>
      <c r="D5" s="1639"/>
      <c r="E5" s="1639"/>
      <c r="F5" s="1639"/>
      <c r="G5" s="1639"/>
      <c r="H5" s="1639"/>
      <c r="I5" s="1639"/>
      <c r="J5" s="159"/>
      <c r="K5" s="159"/>
    </row>
    <row r="6" spans="1:12" ht="14.1" customHeight="1">
      <c r="B6" s="160"/>
      <c r="C6" s="1640" t="str">
        <f>+EA!C4</f>
        <v>y al 31 de diciembre de 2020</v>
      </c>
      <c r="D6" s="1640"/>
      <c r="E6" s="1640"/>
      <c r="F6" s="1640"/>
      <c r="G6" s="1640"/>
      <c r="H6" s="1640"/>
      <c r="I6" s="1640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33"/>
      <c r="B9" s="1635" t="s">
        <v>101</v>
      </c>
      <c r="C9" s="1635"/>
      <c r="D9" s="632" t="s">
        <v>1860</v>
      </c>
      <c r="E9" s="632"/>
      <c r="F9" s="1637"/>
      <c r="G9" s="1635" t="s">
        <v>101</v>
      </c>
      <c r="H9" s="1635"/>
      <c r="I9" s="632" t="s">
        <v>1861</v>
      </c>
      <c r="J9" s="632"/>
      <c r="K9" s="633"/>
      <c r="L9" s="164"/>
    </row>
    <row r="10" spans="1:12" s="165" customFormat="1" ht="15" customHeight="1">
      <c r="A10" s="1634"/>
      <c r="B10" s="1636"/>
      <c r="C10" s="1636"/>
      <c r="D10" s="661">
        <v>2021</v>
      </c>
      <c r="E10" s="661">
        <v>2020</v>
      </c>
      <c r="F10" s="1638"/>
      <c r="G10" s="1636"/>
      <c r="H10" s="1636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7" t="s">
        <v>668</v>
      </c>
      <c r="C13" s="1607"/>
      <c r="D13" s="169"/>
      <c r="E13" s="170"/>
      <c r="G13" s="1607" t="s">
        <v>669</v>
      </c>
      <c r="H13" s="1607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609" t="s">
        <v>670</v>
      </c>
      <c r="C15" s="1609"/>
      <c r="D15" s="173"/>
      <c r="E15" s="173"/>
      <c r="G15" s="1609" t="s">
        <v>671</v>
      </c>
      <c r="H15" s="1609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 s="156" customFormat="1">
      <c r="A17" s="168"/>
      <c r="B17" s="1605" t="s">
        <v>672</v>
      </c>
      <c r="C17" s="1605"/>
      <c r="D17" s="177">
        <f>SUM(D18:D24)</f>
        <v>204262855.45999998</v>
      </c>
      <c r="E17" s="177">
        <f>SUM(E18:E24)</f>
        <v>192432921.41000003</v>
      </c>
      <c r="F17" s="158"/>
      <c r="G17" s="1605" t="s">
        <v>673</v>
      </c>
      <c r="H17" s="1605"/>
      <c r="I17" s="177">
        <f>SUM(I18:I25)</f>
        <v>2718060.53</v>
      </c>
      <c r="J17" s="177">
        <f>SUM(J18:J25)</f>
        <v>3290802.8</v>
      </c>
      <c r="K17" s="167"/>
    </row>
    <row r="18" spans="1:11" s="156" customFormat="1" ht="12.75" customHeight="1">
      <c r="A18" s="168"/>
      <c r="B18" s="179"/>
      <c r="C18" s="179" t="s">
        <v>1706</v>
      </c>
      <c r="D18" s="177">
        <f>+BALANCE!B12</f>
        <v>11000</v>
      </c>
      <c r="E18" s="177">
        <v>11000</v>
      </c>
      <c r="F18" s="158"/>
      <c r="G18" s="179"/>
      <c r="H18" s="179" t="s">
        <v>1732</v>
      </c>
      <c r="I18" s="177">
        <f>+BALANCE!E12</f>
        <v>0</v>
      </c>
      <c r="J18" s="177">
        <v>0</v>
      </c>
      <c r="K18" s="167"/>
    </row>
    <row r="19" spans="1:11" s="156" customFormat="1">
      <c r="A19" s="168"/>
      <c r="B19" s="179"/>
      <c r="C19" s="179" t="s">
        <v>1707</v>
      </c>
      <c r="D19" s="177">
        <f>+BALANCE!B13</f>
        <v>117340822.77</v>
      </c>
      <c r="E19" s="177">
        <v>27566078.359999999</v>
      </c>
      <c r="F19" s="158"/>
      <c r="G19" s="179"/>
      <c r="H19" s="179" t="s">
        <v>1733</v>
      </c>
      <c r="I19" s="177">
        <f>+BALANCE!E13</f>
        <v>0</v>
      </c>
      <c r="J19" s="177">
        <v>0</v>
      </c>
      <c r="K19" s="167"/>
    </row>
    <row r="20" spans="1:11" s="156" customFormat="1" ht="13.5" customHeight="1">
      <c r="A20" s="168"/>
      <c r="B20" s="179"/>
      <c r="C20" s="179" t="s">
        <v>1708</v>
      </c>
      <c r="D20" s="177"/>
      <c r="E20" s="177"/>
      <c r="F20" s="158"/>
      <c r="G20" s="179"/>
      <c r="H20" s="179" t="s">
        <v>1734</v>
      </c>
      <c r="I20" s="177"/>
      <c r="J20" s="177"/>
      <c r="K20" s="167"/>
    </row>
    <row r="21" spans="1:11" s="156" customFormat="1" ht="13.5" customHeight="1">
      <c r="A21" s="168"/>
      <c r="B21" s="179"/>
      <c r="C21" s="179" t="s">
        <v>1709</v>
      </c>
      <c r="D21" s="177">
        <f>+BALANCE!B14</f>
        <v>86911032.689999998</v>
      </c>
      <c r="E21" s="177">
        <v>164855843.05000001</v>
      </c>
      <c r="F21" s="158"/>
      <c r="G21" s="179"/>
      <c r="H21" s="179" t="s">
        <v>1735</v>
      </c>
      <c r="I21" s="177"/>
      <c r="J21" s="177"/>
      <c r="K21" s="167"/>
    </row>
    <row r="22" spans="1:11" s="156" customFormat="1">
      <c r="A22" s="168"/>
      <c r="B22" s="179"/>
      <c r="C22" s="179" t="s">
        <v>1710</v>
      </c>
      <c r="D22" s="177"/>
      <c r="E22" s="177"/>
      <c r="F22" s="158"/>
      <c r="G22" s="179"/>
      <c r="H22" s="179" t="s">
        <v>1736</v>
      </c>
      <c r="I22" s="177"/>
      <c r="J22" s="177"/>
      <c r="K22" s="167"/>
    </row>
    <row r="23" spans="1:11" s="156" customFormat="1">
      <c r="A23" s="168"/>
      <c r="B23" s="179"/>
      <c r="C23" s="179" t="s">
        <v>1711</v>
      </c>
      <c r="D23" s="177"/>
      <c r="E23" s="177"/>
      <c r="F23" s="158"/>
      <c r="G23" s="179"/>
      <c r="H23" s="179" t="s">
        <v>1737</v>
      </c>
      <c r="I23" s="177"/>
      <c r="J23" s="177"/>
      <c r="K23" s="167"/>
    </row>
    <row r="24" spans="1:11" s="156" customFormat="1">
      <c r="A24" s="168"/>
      <c r="B24" s="179"/>
      <c r="C24" s="179" t="s">
        <v>1712</v>
      </c>
      <c r="D24" s="177"/>
      <c r="E24" s="177"/>
      <c r="F24" s="158"/>
      <c r="G24" s="179"/>
      <c r="H24" s="179" t="s">
        <v>1738</v>
      </c>
      <c r="I24" s="177">
        <f>+BALANCE!E14</f>
        <v>1694817.41</v>
      </c>
      <c r="J24" s="177">
        <v>2485657.73</v>
      </c>
      <c r="K24" s="167"/>
    </row>
    <row r="25" spans="1:11" s="156" customFormat="1">
      <c r="A25" s="168"/>
      <c r="B25" s="1605" t="s">
        <v>674</v>
      </c>
      <c r="C25" s="1605"/>
      <c r="D25" s="177">
        <f>SUM(D26:D32)</f>
        <v>12535750.810000001</v>
      </c>
      <c r="E25" s="177">
        <f>SUM(E26:E32)</f>
        <v>30004506.859999999</v>
      </c>
      <c r="F25" s="158"/>
      <c r="H25" s="156" t="s">
        <v>1759</v>
      </c>
      <c r="I25" s="177">
        <f>+BALANCE!E15</f>
        <v>1023243.12</v>
      </c>
      <c r="J25" s="177">
        <v>805145.07</v>
      </c>
      <c r="K25" s="167"/>
    </row>
    <row r="26" spans="1:11" s="156" customFormat="1">
      <c r="A26" s="168"/>
      <c r="B26" s="179"/>
      <c r="C26" s="179" t="s">
        <v>1713</v>
      </c>
      <c r="D26" s="177"/>
      <c r="E26" s="177"/>
      <c r="F26" s="158"/>
      <c r="G26" s="1605" t="s">
        <v>675</v>
      </c>
      <c r="H26" s="1605"/>
      <c r="I26" s="177">
        <f>SUM(I27:I29)</f>
        <v>0</v>
      </c>
      <c r="J26" s="177">
        <v>0</v>
      </c>
      <c r="K26" s="167"/>
    </row>
    <row r="27" spans="1:11" s="156" customFormat="1">
      <c r="A27" s="168"/>
      <c r="B27" s="179"/>
      <c r="C27" s="179" t="s">
        <v>1714</v>
      </c>
      <c r="D27" s="177">
        <f>+BALANCE!B15</f>
        <v>8309472.2800000003</v>
      </c>
      <c r="E27" s="177">
        <v>15440775.220000001</v>
      </c>
      <c r="F27" s="158"/>
      <c r="G27" s="179"/>
      <c r="H27" s="179" t="s">
        <v>1739</v>
      </c>
      <c r="I27" s="177"/>
      <c r="J27" s="177"/>
      <c r="K27" s="167"/>
    </row>
    <row r="28" spans="1:11" s="156" customFormat="1">
      <c r="A28" s="168"/>
      <c r="B28" s="179"/>
      <c r="C28" s="179" t="s">
        <v>1715</v>
      </c>
      <c r="D28" s="177">
        <f>+BALANCE!B16</f>
        <v>26379.15</v>
      </c>
      <c r="E28" s="177">
        <v>7044674.3300000001</v>
      </c>
      <c r="F28" s="158"/>
      <c r="H28" s="156" t="s">
        <v>1740</v>
      </c>
      <c r="K28" s="167"/>
    </row>
    <row r="29" spans="1:11" s="156" customFormat="1">
      <c r="A29" s="168"/>
      <c r="B29" s="179"/>
      <c r="C29" s="179" t="s">
        <v>1716</v>
      </c>
      <c r="D29" s="177">
        <f>+BALANCE!B17</f>
        <v>4199899.38</v>
      </c>
      <c r="E29" s="177">
        <v>7518457.3099999996</v>
      </c>
      <c r="F29" s="158"/>
      <c r="G29" s="179"/>
      <c r="H29" s="179" t="s">
        <v>1741</v>
      </c>
      <c r="I29" s="177">
        <f>+BALANCE!E16</f>
        <v>0</v>
      </c>
      <c r="J29" s="177">
        <v>0</v>
      </c>
      <c r="K29" s="167"/>
    </row>
    <row r="30" spans="1:11" s="156" customFormat="1" ht="13.5" customHeight="1">
      <c r="A30" s="168"/>
      <c r="B30" s="179"/>
      <c r="C30" s="179" t="s">
        <v>1717</v>
      </c>
      <c r="D30" s="177">
        <f>+BALANCE!B18</f>
        <v>0</v>
      </c>
      <c r="E30" s="177">
        <v>600</v>
      </c>
      <c r="F30" s="158"/>
      <c r="G30" s="1605" t="s">
        <v>677</v>
      </c>
      <c r="H30" s="1605"/>
      <c r="I30" s="177">
        <f>SUM(I31:I32)</f>
        <v>0</v>
      </c>
      <c r="J30" s="177">
        <v>0</v>
      </c>
      <c r="K30" s="167"/>
    </row>
    <row r="31" spans="1:11" s="156" customFormat="1">
      <c r="A31" s="168"/>
      <c r="B31" s="179"/>
      <c r="C31" s="179" t="s">
        <v>1718</v>
      </c>
      <c r="D31" s="177"/>
      <c r="E31" s="177"/>
      <c r="F31" s="158"/>
      <c r="G31" s="179"/>
      <c r="H31" s="179" t="s">
        <v>1742</v>
      </c>
      <c r="I31" s="177"/>
      <c r="J31" s="177"/>
      <c r="K31" s="167"/>
    </row>
    <row r="32" spans="1:11" s="156" customFormat="1">
      <c r="A32" s="168"/>
      <c r="B32" s="179"/>
      <c r="C32" s="179" t="s">
        <v>1719</v>
      </c>
      <c r="D32" s="177"/>
      <c r="E32" s="177"/>
      <c r="F32" s="158"/>
      <c r="G32" s="179"/>
      <c r="H32" s="179" t="s">
        <v>1743</v>
      </c>
      <c r="I32" s="177"/>
      <c r="J32" s="177"/>
      <c r="K32" s="167"/>
    </row>
    <row r="33" spans="1:11" s="156" customFormat="1">
      <c r="A33" s="168"/>
      <c r="B33" s="1605" t="s">
        <v>676</v>
      </c>
      <c r="C33" s="1605"/>
      <c r="D33" s="177">
        <f>SUM(D34:D38)</f>
        <v>312349.13</v>
      </c>
      <c r="E33" s="177">
        <f>SUM(E34:E38)</f>
        <v>292951.38</v>
      </c>
      <c r="F33" s="158"/>
      <c r="G33" s="1605" t="s">
        <v>679</v>
      </c>
      <c r="H33" s="1605"/>
      <c r="I33" s="177">
        <v>0</v>
      </c>
      <c r="J33" s="177">
        <v>0</v>
      </c>
      <c r="K33" s="167"/>
    </row>
    <row r="34" spans="1:11" s="156" customFormat="1">
      <c r="A34" s="168"/>
      <c r="B34" s="179"/>
      <c r="C34" s="179" t="s">
        <v>1720</v>
      </c>
      <c r="D34" s="177">
        <f>+BALANCE!B19</f>
        <v>16301</v>
      </c>
      <c r="E34" s="177">
        <v>15380</v>
      </c>
      <c r="F34" s="158"/>
      <c r="G34" s="1605" t="s">
        <v>681</v>
      </c>
      <c r="H34" s="1605"/>
      <c r="I34" s="177">
        <f>SUM(I35:I37)</f>
        <v>46.39</v>
      </c>
      <c r="J34" s="177">
        <f>SUM(J35:J37)</f>
        <v>9449.58</v>
      </c>
      <c r="K34" s="167"/>
    </row>
    <row r="35" spans="1:11" s="156" customFormat="1" ht="13.5" customHeight="1">
      <c r="A35" s="168"/>
      <c r="B35" s="179"/>
      <c r="C35" s="179" t="s">
        <v>1721</v>
      </c>
      <c r="D35" s="177"/>
      <c r="E35" s="177"/>
      <c r="F35" s="158"/>
      <c r="G35" s="179"/>
      <c r="H35" s="179" t="s">
        <v>1744</v>
      </c>
      <c r="I35" s="177">
        <f>+BALANCE!E17</f>
        <v>46.39</v>
      </c>
      <c r="J35" s="177">
        <v>9449.58</v>
      </c>
      <c r="K35" s="167"/>
    </row>
    <row r="36" spans="1:11" s="156" customFormat="1">
      <c r="A36" s="168"/>
      <c r="B36" s="179"/>
      <c r="C36" s="179" t="s">
        <v>1722</v>
      </c>
      <c r="D36" s="177">
        <f>+BALANCE!B20</f>
        <v>296048.13</v>
      </c>
      <c r="E36" s="177">
        <v>277571.38</v>
      </c>
      <c r="F36" s="158"/>
      <c r="G36" s="179"/>
      <c r="H36" s="179" t="s">
        <v>1745</v>
      </c>
      <c r="I36" s="177"/>
      <c r="J36" s="177"/>
      <c r="K36" s="167"/>
    </row>
    <row r="37" spans="1:11" s="156" customFormat="1">
      <c r="A37" s="168"/>
      <c r="B37" s="179"/>
      <c r="C37" s="179" t="s">
        <v>1723</v>
      </c>
      <c r="D37" s="177">
        <f>+BALANCE!B21</f>
        <v>0</v>
      </c>
      <c r="E37" s="177"/>
      <c r="F37" s="158"/>
      <c r="G37" s="179"/>
      <c r="H37" s="179" t="s">
        <v>1746</v>
      </c>
      <c r="I37" s="177"/>
      <c r="J37" s="177"/>
      <c r="K37" s="167"/>
    </row>
    <row r="38" spans="1:11" s="156" customFormat="1">
      <c r="A38" s="168"/>
      <c r="B38" s="179"/>
      <c r="C38" s="179" t="s">
        <v>1724</v>
      </c>
      <c r="D38" s="177"/>
      <c r="E38" s="177"/>
      <c r="F38" s="158"/>
      <c r="G38" s="1608" t="s">
        <v>1747</v>
      </c>
      <c r="H38" s="1608"/>
      <c r="I38" s="177">
        <f>SUM(I39:I44)</f>
        <v>0</v>
      </c>
      <c r="J38" s="177">
        <v>0</v>
      </c>
      <c r="K38" s="167"/>
    </row>
    <row r="39" spans="1:11" s="156" customFormat="1">
      <c r="A39" s="168"/>
      <c r="B39" s="1605" t="s">
        <v>678</v>
      </c>
      <c r="C39" s="1605"/>
      <c r="D39" s="177">
        <v>0</v>
      </c>
      <c r="E39" s="177">
        <v>0</v>
      </c>
      <c r="F39" s="158"/>
      <c r="H39" s="156" t="s">
        <v>1748</v>
      </c>
      <c r="K39" s="167"/>
    </row>
    <row r="40" spans="1:11" s="156" customFormat="1">
      <c r="A40" s="168"/>
      <c r="B40" s="179"/>
      <c r="C40" s="179" t="s">
        <v>1725</v>
      </c>
      <c r="D40" s="177"/>
      <c r="E40" s="177"/>
      <c r="F40" s="158"/>
      <c r="G40" s="179"/>
      <c r="H40" s="179" t="s">
        <v>1749</v>
      </c>
      <c r="I40" s="177"/>
      <c r="J40" s="177"/>
      <c r="K40" s="167"/>
    </row>
    <row r="41" spans="1:11" s="156" customFormat="1">
      <c r="A41" s="168"/>
      <c r="B41" s="1605" t="s">
        <v>680</v>
      </c>
      <c r="C41" s="1605"/>
      <c r="D41" s="177">
        <v>0</v>
      </c>
      <c r="E41" s="177">
        <v>0</v>
      </c>
      <c r="F41" s="158"/>
      <c r="H41" s="156" t="s">
        <v>1750</v>
      </c>
      <c r="K41" s="167"/>
    </row>
    <row r="42" spans="1:11" s="156" customFormat="1" ht="13.5" customHeight="1">
      <c r="A42" s="168"/>
      <c r="B42" s="1605" t="s">
        <v>682</v>
      </c>
      <c r="C42" s="1605"/>
      <c r="D42" s="177">
        <f>SUM(D43:D44)</f>
        <v>0</v>
      </c>
      <c r="E42" s="177">
        <v>0</v>
      </c>
      <c r="F42" s="158"/>
      <c r="H42" s="156" t="s">
        <v>1751</v>
      </c>
      <c r="I42" s="177"/>
      <c r="J42" s="177"/>
      <c r="K42" s="167"/>
    </row>
    <row r="43" spans="1:11" s="156" customFormat="1" ht="11.25" customHeight="1">
      <c r="A43" s="168"/>
      <c r="B43" s="179"/>
      <c r="C43" s="179" t="s">
        <v>1726</v>
      </c>
      <c r="D43" s="177">
        <v>0</v>
      </c>
      <c r="E43" s="177">
        <v>0</v>
      </c>
      <c r="F43" s="158"/>
      <c r="G43" s="555"/>
      <c r="H43" s="555" t="s">
        <v>1752</v>
      </c>
      <c r="I43" s="177"/>
      <c r="J43" s="177"/>
      <c r="K43" s="167"/>
    </row>
    <row r="44" spans="1:11" s="156" customFormat="1" ht="15" customHeight="1">
      <c r="A44" s="168"/>
      <c r="B44" s="179"/>
      <c r="C44" s="179" t="s">
        <v>1727</v>
      </c>
      <c r="D44" s="177"/>
      <c r="E44" s="177"/>
      <c r="F44" s="158"/>
      <c r="G44" s="555"/>
      <c r="H44" s="555" t="s">
        <v>1753</v>
      </c>
      <c r="I44" s="177"/>
      <c r="J44" s="177"/>
      <c r="K44" s="167"/>
    </row>
    <row r="45" spans="1:11" s="156" customFormat="1">
      <c r="A45" s="168"/>
      <c r="B45" s="1605" t="s">
        <v>683</v>
      </c>
      <c r="C45" s="1605"/>
      <c r="D45" s="177">
        <f>SUM(D46:D50)</f>
        <v>168821.74</v>
      </c>
      <c r="E45" s="177">
        <f>SUM(E46:E50)</f>
        <v>163103.14000000001</v>
      </c>
      <c r="F45" s="158"/>
      <c r="G45" s="1605" t="s">
        <v>684</v>
      </c>
      <c r="H45" s="1605"/>
      <c r="I45" s="177">
        <f>SUM(I46:I48)</f>
        <v>0</v>
      </c>
      <c r="J45" s="177">
        <v>0</v>
      </c>
      <c r="K45" s="167"/>
    </row>
    <row r="46" spans="1:11" s="156" customFormat="1">
      <c r="A46" s="168"/>
      <c r="B46" s="179"/>
      <c r="C46" s="179" t="s">
        <v>1728</v>
      </c>
      <c r="D46" s="177">
        <f>+BALANCE!B22</f>
        <v>168821.74</v>
      </c>
      <c r="E46" s="177">
        <v>163103.14000000001</v>
      </c>
      <c r="F46" s="158"/>
      <c r="G46" s="179"/>
      <c r="H46" s="179" t="s">
        <v>1754</v>
      </c>
      <c r="I46" s="177"/>
      <c r="J46" s="177"/>
      <c r="K46" s="167"/>
    </row>
    <row r="47" spans="1:11" s="156" customFormat="1">
      <c r="A47" s="168"/>
      <c r="B47" s="179"/>
      <c r="C47" s="179" t="s">
        <v>1729</v>
      </c>
      <c r="D47" s="177"/>
      <c r="E47" s="177"/>
      <c r="F47" s="158"/>
      <c r="G47" s="179"/>
      <c r="H47" s="179" t="s">
        <v>1755</v>
      </c>
      <c r="I47" s="177"/>
      <c r="J47" s="177"/>
      <c r="K47" s="167"/>
    </row>
    <row r="48" spans="1:11" s="156" customFormat="1">
      <c r="A48" s="168"/>
      <c r="B48" s="179"/>
      <c r="C48" s="179" t="s">
        <v>1730</v>
      </c>
      <c r="D48" s="177"/>
      <c r="E48" s="177"/>
      <c r="F48" s="158"/>
      <c r="G48" s="179"/>
      <c r="H48" s="179" t="s">
        <v>1756</v>
      </c>
      <c r="I48" s="177"/>
      <c r="J48" s="177"/>
      <c r="K48" s="167"/>
    </row>
    <row r="49" spans="1:11" s="156" customFormat="1">
      <c r="A49" s="168"/>
      <c r="B49" s="179"/>
      <c r="C49" s="179" t="s">
        <v>1731</v>
      </c>
      <c r="D49" s="177"/>
      <c r="E49" s="177"/>
      <c r="F49" s="158"/>
      <c r="G49" s="1605" t="s">
        <v>685</v>
      </c>
      <c r="H49" s="1605"/>
      <c r="I49" s="177">
        <f>SUM(I50)</f>
        <v>0</v>
      </c>
      <c r="J49" s="177">
        <v>0</v>
      </c>
      <c r="K49" s="167"/>
    </row>
    <row r="50" spans="1:11" s="156" customFormat="1">
      <c r="A50" s="168"/>
      <c r="B50" s="178"/>
      <c r="C50" s="179"/>
      <c r="D50" s="180"/>
      <c r="E50" s="180"/>
      <c r="F50" s="158"/>
      <c r="H50" s="156" t="s">
        <v>1757</v>
      </c>
      <c r="I50" s="177"/>
      <c r="J50" s="177"/>
      <c r="K50" s="167"/>
    </row>
    <row r="51" spans="1:11" s="156" customFormat="1">
      <c r="A51" s="181"/>
      <c r="B51" s="1609" t="s">
        <v>686</v>
      </c>
      <c r="C51" s="1609"/>
      <c r="D51" s="174">
        <f>+D45+D42+D41+D39+D33+D25+D17</f>
        <v>217279777.13999999</v>
      </c>
      <c r="E51" s="174">
        <f>+E45+E42+E41+E39+E33+E25+E17</f>
        <v>222893482.79000002</v>
      </c>
      <c r="F51" s="182"/>
      <c r="G51" s="172"/>
      <c r="H51" s="171"/>
      <c r="I51" s="183"/>
      <c r="J51" s="183"/>
      <c r="K51" s="167"/>
    </row>
    <row r="52" spans="1:11" s="156" customFormat="1">
      <c r="A52" s="181"/>
      <c r="B52" s="172"/>
      <c r="C52" s="184"/>
      <c r="D52" s="183"/>
      <c r="E52" s="183"/>
      <c r="F52" s="182"/>
      <c r="G52" s="1609" t="s">
        <v>687</v>
      </c>
      <c r="H52" s="1609"/>
      <c r="I52" s="174">
        <f>+I49+I45+I38+I34+I33+I30+I26+I17</f>
        <v>2718106.92</v>
      </c>
      <c r="J52" s="174">
        <f>+J49+J45+J38+J34+J33+J30+J26+J17</f>
        <v>3300252.38</v>
      </c>
      <c r="K52" s="167"/>
    </row>
    <row r="53" spans="1:11" s="156" customFormat="1">
      <c r="A53" s="168"/>
      <c r="B53" s="178"/>
      <c r="C53" s="178"/>
      <c r="D53" s="180"/>
      <c r="E53" s="180"/>
      <c r="F53" s="158"/>
      <c r="G53" s="185"/>
      <c r="H53" s="179"/>
      <c r="I53" s="180"/>
      <c r="J53" s="180"/>
      <c r="K53" s="167"/>
    </row>
    <row r="54" spans="1:11" s="156" customFormat="1">
      <c r="A54" s="168"/>
      <c r="B54" s="1609" t="s">
        <v>688</v>
      </c>
      <c r="C54" s="1609"/>
      <c r="D54" s="173"/>
      <c r="E54" s="173"/>
      <c r="F54" s="158"/>
      <c r="G54" s="1609" t="s">
        <v>689</v>
      </c>
      <c r="H54" s="1609"/>
      <c r="I54" s="173"/>
      <c r="J54" s="173"/>
      <c r="K54" s="167"/>
    </row>
    <row r="55" spans="1:11" s="156" customFormat="1">
      <c r="A55" s="168"/>
      <c r="B55" s="178"/>
      <c r="C55" s="178"/>
      <c r="D55" s="180"/>
      <c r="E55" s="180"/>
      <c r="F55" s="158"/>
      <c r="G55" s="178"/>
      <c r="H55" s="179"/>
      <c r="I55" s="180"/>
      <c r="J55" s="180"/>
      <c r="K55" s="167"/>
    </row>
    <row r="56" spans="1:11" s="156" customFormat="1">
      <c r="A56" s="168"/>
      <c r="B56" s="1605" t="s">
        <v>690</v>
      </c>
      <c r="C56" s="1605"/>
      <c r="D56" s="177">
        <f>+BALANCE!B28</f>
        <v>1758830</v>
      </c>
      <c r="E56" s="177">
        <v>1758830</v>
      </c>
      <c r="F56" s="158"/>
      <c r="G56" s="1605" t="s">
        <v>691</v>
      </c>
      <c r="H56" s="1605"/>
      <c r="I56" s="177">
        <v>0</v>
      </c>
      <c r="J56" s="177">
        <v>0</v>
      </c>
      <c r="K56" s="167"/>
    </row>
    <row r="57" spans="1:11" s="156" customFormat="1">
      <c r="A57" s="168"/>
      <c r="B57" s="1605" t="s">
        <v>692</v>
      </c>
      <c r="C57" s="1605"/>
      <c r="D57" s="177">
        <f>+BALANCE!B29</f>
        <v>0</v>
      </c>
      <c r="E57" s="177">
        <v>0</v>
      </c>
      <c r="F57" s="158"/>
      <c r="G57" s="1605" t="s">
        <v>693</v>
      </c>
      <c r="H57" s="1605"/>
      <c r="I57" s="177">
        <f>+BALANCE!E25</f>
        <v>0</v>
      </c>
      <c r="J57" s="177">
        <v>0</v>
      </c>
      <c r="K57" s="167"/>
    </row>
    <row r="58" spans="1:11" s="156" customFormat="1">
      <c r="A58" s="168"/>
      <c r="B58" s="1605" t="s">
        <v>694</v>
      </c>
      <c r="C58" s="1605"/>
      <c r="D58" s="177">
        <f>+BALANCE!B30+BALANCE!B31+BALANCE!B32</f>
        <v>1006003271.84</v>
      </c>
      <c r="E58" s="177">
        <v>947679244.29999995</v>
      </c>
      <c r="F58" s="158"/>
      <c r="G58" s="1605" t="s">
        <v>695</v>
      </c>
      <c r="H58" s="1605"/>
      <c r="I58" s="177">
        <v>0</v>
      </c>
      <c r="J58" s="177">
        <v>0</v>
      </c>
      <c r="K58" s="167"/>
    </row>
    <row r="59" spans="1:11" s="156" customFormat="1">
      <c r="A59" s="168"/>
      <c r="B59" s="1605" t="s">
        <v>696</v>
      </c>
      <c r="C59" s="1605"/>
      <c r="D59" s="177">
        <f>+BALANCE!B33+BALANCE!B34+BALANCE!B35</f>
        <v>12366082.059999999</v>
      </c>
      <c r="E59" s="177">
        <v>12279237.109999999</v>
      </c>
      <c r="F59" s="158"/>
      <c r="G59" s="1605" t="s">
        <v>697</v>
      </c>
      <c r="H59" s="1605"/>
      <c r="I59" s="177">
        <v>0</v>
      </c>
      <c r="J59" s="177">
        <v>0</v>
      </c>
      <c r="K59" s="167"/>
    </row>
    <row r="60" spans="1:11" s="156" customFormat="1" ht="13.5" customHeight="1">
      <c r="A60" s="168"/>
      <c r="B60" s="1605" t="s">
        <v>698</v>
      </c>
      <c r="C60" s="1605"/>
      <c r="D60" s="177">
        <f>+BALANCE!B36</f>
        <v>9131355.4499999993</v>
      </c>
      <c r="E60" s="177">
        <v>8744971.7599999998</v>
      </c>
      <c r="F60" s="158"/>
      <c r="G60" s="1608" t="s">
        <v>1758</v>
      </c>
      <c r="H60" s="1608"/>
      <c r="I60" s="177">
        <v>0</v>
      </c>
      <c r="J60" s="177">
        <v>0</v>
      </c>
      <c r="K60" s="167"/>
    </row>
    <row r="61" spans="1:11" s="156" customFormat="1" ht="12" customHeight="1">
      <c r="A61" s="168"/>
      <c r="B61" s="1605" t="s">
        <v>699</v>
      </c>
      <c r="C61" s="1605"/>
      <c r="D61" s="177">
        <f>+BALANCE!B37+BALANCE!B38</f>
        <v>-40762395.579999998</v>
      </c>
      <c r="E61" s="177">
        <v>-35607398.879999995</v>
      </c>
      <c r="F61" s="158"/>
      <c r="G61" s="1605" t="s">
        <v>700</v>
      </c>
      <c r="H61" s="1605"/>
      <c r="I61" s="177">
        <v>0</v>
      </c>
      <c r="J61" s="177">
        <v>0</v>
      </c>
      <c r="K61" s="167"/>
    </row>
    <row r="62" spans="1:11" s="156" customFormat="1">
      <c r="A62" s="168"/>
      <c r="B62" s="1605" t="s">
        <v>701</v>
      </c>
      <c r="C62" s="1605"/>
      <c r="D62" s="177">
        <v>0</v>
      </c>
      <c r="E62" s="177">
        <v>0</v>
      </c>
      <c r="F62" s="158"/>
      <c r="G62" s="178"/>
      <c r="H62" s="179"/>
      <c r="I62" s="180"/>
      <c r="J62" s="180"/>
      <c r="K62" s="167"/>
    </row>
    <row r="63" spans="1:11" s="156" customFormat="1" ht="12" customHeight="1">
      <c r="A63" s="168"/>
      <c r="B63" s="1605" t="s">
        <v>702</v>
      </c>
      <c r="C63" s="1605"/>
      <c r="D63" s="177">
        <v>0</v>
      </c>
      <c r="E63" s="177">
        <v>0</v>
      </c>
      <c r="F63" s="158"/>
      <c r="G63" s="1609" t="s">
        <v>703</v>
      </c>
      <c r="H63" s="1609"/>
      <c r="I63" s="174">
        <f>SUM(I56:I61)</f>
        <v>0</v>
      </c>
      <c r="J63" s="174">
        <f>SUM(J56:J61)</f>
        <v>0</v>
      </c>
      <c r="K63" s="167"/>
    </row>
    <row r="64" spans="1:11" s="156" customFormat="1">
      <c r="A64" s="168"/>
      <c r="B64" s="1605" t="s">
        <v>704</v>
      </c>
      <c r="C64" s="1605"/>
      <c r="D64" s="177">
        <v>0</v>
      </c>
      <c r="E64" s="177">
        <v>0</v>
      </c>
      <c r="F64" s="158"/>
      <c r="G64" s="172"/>
      <c r="H64" s="184"/>
      <c r="I64" s="183"/>
      <c r="J64" s="183"/>
      <c r="K64" s="167"/>
    </row>
    <row r="65" spans="1:11" s="156" customFormat="1" ht="12" customHeight="1">
      <c r="A65" s="168"/>
      <c r="B65" s="178"/>
      <c r="C65" s="179"/>
      <c r="D65" s="180"/>
      <c r="E65" s="180"/>
      <c r="F65" s="158"/>
      <c r="G65" s="1609" t="s">
        <v>705</v>
      </c>
      <c r="H65" s="1609"/>
      <c r="I65" s="174">
        <f>I52+I63</f>
        <v>2718106.92</v>
      </c>
      <c r="J65" s="174">
        <f>J52+J63</f>
        <v>3300252.38</v>
      </c>
      <c r="K65" s="167"/>
    </row>
    <row r="66" spans="1:11" s="156" customFormat="1">
      <c r="A66" s="181"/>
      <c r="B66" s="1609" t="s">
        <v>706</v>
      </c>
      <c r="C66" s="1609"/>
      <c r="D66" s="174">
        <f>SUM(D56:D64)</f>
        <v>988497143.76999998</v>
      </c>
      <c r="E66" s="174">
        <f>SUM(E56:E64)</f>
        <v>934854884.28999996</v>
      </c>
      <c r="F66" s="182"/>
      <c r="G66" s="172"/>
      <c r="H66" s="186"/>
      <c r="I66" s="183"/>
      <c r="J66" s="183"/>
      <c r="K66" s="167"/>
    </row>
    <row r="67" spans="1:11" s="156" customFormat="1" ht="12" customHeight="1">
      <c r="A67" s="168"/>
      <c r="B67" s="178"/>
      <c r="C67" s="172"/>
      <c r="D67" s="180"/>
      <c r="E67" s="180"/>
      <c r="F67" s="158"/>
      <c r="G67" s="1607" t="s">
        <v>707</v>
      </c>
      <c r="H67" s="1607"/>
      <c r="I67" s="180"/>
      <c r="J67" s="180"/>
      <c r="K67" s="167"/>
    </row>
    <row r="68" spans="1:11" s="156" customFormat="1">
      <c r="A68" s="168"/>
      <c r="B68" s="1609" t="s">
        <v>708</v>
      </c>
      <c r="C68" s="1609"/>
      <c r="D68" s="174">
        <f>D51+D66</f>
        <v>1205776920.9099998</v>
      </c>
      <c r="E68" s="174">
        <f>E51+E66</f>
        <v>1157748367.0799999</v>
      </c>
      <c r="F68" s="158"/>
      <c r="G68" s="172"/>
      <c r="H68" s="186"/>
      <c r="I68" s="180"/>
      <c r="J68" s="180"/>
      <c r="K68" s="167"/>
    </row>
    <row r="69" spans="1:11" s="156" customFormat="1" ht="12" customHeight="1">
      <c r="A69" s="168"/>
      <c r="B69" s="178"/>
      <c r="C69" s="178"/>
      <c r="D69" s="180"/>
      <c r="E69" s="180"/>
      <c r="F69" s="158"/>
      <c r="G69" s="1609" t="s">
        <v>709</v>
      </c>
      <c r="H69" s="1609"/>
      <c r="I69" s="174">
        <f>SUM(I71:I73)</f>
        <v>278482908.89999998</v>
      </c>
      <c r="J69" s="174">
        <f>SUM(J71:J73)</f>
        <v>278482908.89999998</v>
      </c>
      <c r="K69" s="167"/>
    </row>
    <row r="70" spans="1:11" s="156" customFormat="1">
      <c r="A70" s="168"/>
      <c r="B70" s="178"/>
      <c r="C70" s="178"/>
      <c r="D70" s="180"/>
      <c r="E70" s="180"/>
      <c r="F70" s="158"/>
      <c r="G70" s="178"/>
      <c r="H70" s="170"/>
      <c r="I70" s="180"/>
      <c r="J70" s="180"/>
      <c r="K70" s="167"/>
    </row>
    <row r="71" spans="1:11" s="156" customFormat="1" ht="12" customHeight="1">
      <c r="A71" s="168"/>
      <c r="B71" s="178"/>
      <c r="C71" s="178"/>
      <c r="D71" s="180"/>
      <c r="E71" s="180"/>
      <c r="F71" s="158"/>
      <c r="G71" s="1605" t="s">
        <v>643</v>
      </c>
      <c r="H71" s="1605"/>
      <c r="I71" s="177">
        <v>10952891.960000001</v>
      </c>
      <c r="J71" s="177">
        <v>10952891.960000001</v>
      </c>
      <c r="K71" s="167"/>
    </row>
    <row r="72" spans="1:11" s="156" customFormat="1" ht="12" customHeight="1">
      <c r="A72" s="168"/>
      <c r="B72" s="178"/>
      <c r="C72" s="556"/>
      <c r="D72" s="556"/>
      <c r="E72" s="180"/>
      <c r="F72" s="158"/>
      <c r="G72" s="1605" t="s">
        <v>710</v>
      </c>
      <c r="H72" s="1605"/>
      <c r="I72" s="177">
        <v>0</v>
      </c>
      <c r="J72" s="177">
        <v>0</v>
      </c>
      <c r="K72" s="167"/>
    </row>
    <row r="73" spans="1:11" s="156" customFormat="1" ht="12" customHeight="1">
      <c r="A73" s="168"/>
      <c r="B73" s="178"/>
      <c r="C73" s="556"/>
      <c r="D73" s="556"/>
      <c r="E73" s="180"/>
      <c r="F73" s="158"/>
      <c r="G73" s="1605" t="s">
        <v>711</v>
      </c>
      <c r="H73" s="1605"/>
      <c r="I73" s="177">
        <v>267530016.94</v>
      </c>
      <c r="J73" s="177">
        <v>267530016.94</v>
      </c>
      <c r="K73" s="167"/>
    </row>
    <row r="74" spans="1:11" s="156" customFormat="1" ht="12" customHeight="1">
      <c r="A74" s="168"/>
      <c r="B74" s="178"/>
      <c r="C74" s="556"/>
      <c r="D74" s="556"/>
      <c r="E74" s="180"/>
      <c r="F74" s="158"/>
      <c r="G74" s="178"/>
      <c r="H74" s="170"/>
      <c r="I74" s="180"/>
      <c r="J74" s="180"/>
      <c r="K74" s="167"/>
    </row>
    <row r="75" spans="1:11" s="156" customFormat="1" ht="12" customHeight="1">
      <c r="A75" s="168"/>
      <c r="B75" s="178"/>
      <c r="C75" s="556"/>
      <c r="D75" s="556"/>
      <c r="E75" s="180"/>
      <c r="F75" s="158"/>
      <c r="G75" s="1609" t="s">
        <v>712</v>
      </c>
      <c r="H75" s="1609"/>
      <c r="I75" s="174">
        <f>SUM(I77:I81)</f>
        <v>903999678.57999992</v>
      </c>
      <c r="J75" s="174">
        <f>SUM(J77:J81)</f>
        <v>855388979.29000008</v>
      </c>
      <c r="K75" s="167"/>
    </row>
    <row r="76" spans="1:11" s="156" customFormat="1" ht="12" customHeight="1">
      <c r="A76" s="168"/>
      <c r="B76" s="178"/>
      <c r="C76" s="556"/>
      <c r="D76" s="556"/>
      <c r="E76" s="180"/>
      <c r="F76" s="158"/>
      <c r="G76" s="172"/>
      <c r="H76" s="170"/>
      <c r="I76" s="187"/>
      <c r="J76" s="187"/>
      <c r="K76" s="167"/>
    </row>
    <row r="77" spans="1:11" s="156" customFormat="1" ht="12" customHeight="1">
      <c r="A77" s="168"/>
      <c r="B77" s="178"/>
      <c r="C77" s="556"/>
      <c r="D77" s="556"/>
      <c r="E77" s="180"/>
      <c r="F77" s="158"/>
      <c r="G77" s="1605" t="s">
        <v>713</v>
      </c>
      <c r="H77" s="1605"/>
      <c r="I77" s="177">
        <f>+BALANCE!E38</f>
        <v>48610699.289999999</v>
      </c>
      <c r="J77" s="177">
        <v>82707402.840000004</v>
      </c>
      <c r="K77" s="167"/>
    </row>
    <row r="78" spans="1:11" s="156" customFormat="1" ht="12" customHeight="1">
      <c r="A78" s="168"/>
      <c r="B78" s="178"/>
      <c r="C78" s="556"/>
      <c r="D78" s="556"/>
      <c r="E78" s="180"/>
      <c r="F78" s="158"/>
      <c r="G78" s="1605" t="s">
        <v>714</v>
      </c>
      <c r="H78" s="1605"/>
      <c r="I78" s="177">
        <f>+BALANCE!E37</f>
        <v>855388979.28999996</v>
      </c>
      <c r="J78" s="177">
        <v>772681576.45000005</v>
      </c>
      <c r="K78" s="167"/>
    </row>
    <row r="79" spans="1:11" s="156" customFormat="1" ht="12" customHeight="1">
      <c r="A79" s="168"/>
      <c r="B79" s="178"/>
      <c r="C79" s="556"/>
      <c r="D79" s="556"/>
      <c r="E79" s="180"/>
      <c r="F79" s="158"/>
      <c r="G79" s="1605" t="s">
        <v>715</v>
      </c>
      <c r="H79" s="1605"/>
      <c r="I79" s="177">
        <v>0</v>
      </c>
      <c r="J79" s="177">
        <v>0</v>
      </c>
      <c r="K79" s="167"/>
    </row>
    <row r="80" spans="1:11" s="156" customFormat="1" ht="12" customHeight="1">
      <c r="A80" s="168"/>
      <c r="B80" s="178"/>
      <c r="C80" s="178"/>
      <c r="D80" s="180"/>
      <c r="E80" s="180"/>
      <c r="F80" s="158"/>
      <c r="G80" s="1605" t="s">
        <v>716</v>
      </c>
      <c r="H80" s="1605"/>
      <c r="I80" s="177">
        <v>0</v>
      </c>
      <c r="J80" s="177">
        <v>0</v>
      </c>
      <c r="K80" s="167"/>
    </row>
    <row r="81" spans="1:11" s="156" customFormat="1" ht="12" customHeight="1">
      <c r="A81" s="168"/>
      <c r="B81" s="178"/>
      <c r="C81" s="178"/>
      <c r="D81" s="180"/>
      <c r="E81" s="180"/>
      <c r="F81" s="158"/>
      <c r="G81" s="1605" t="s">
        <v>231</v>
      </c>
      <c r="H81" s="1605"/>
      <c r="I81" s="177">
        <v>0</v>
      </c>
      <c r="J81" s="177">
        <v>0</v>
      </c>
      <c r="K81" s="167"/>
    </row>
    <row r="82" spans="1:11" s="156" customFormat="1">
      <c r="A82" s="168"/>
      <c r="B82" s="178"/>
      <c r="C82" s="178"/>
      <c r="D82" s="180"/>
      <c r="E82" s="180"/>
      <c r="F82" s="158"/>
      <c r="G82" s="178"/>
      <c r="H82" s="170"/>
      <c r="I82" s="180"/>
      <c r="J82" s="180"/>
      <c r="K82" s="167"/>
    </row>
    <row r="83" spans="1:11" s="156" customFormat="1" ht="25.5" customHeight="1">
      <c r="A83" s="168"/>
      <c r="B83" s="178"/>
      <c r="C83" s="178"/>
      <c r="D83" s="180"/>
      <c r="E83" s="180"/>
      <c r="F83" s="158"/>
      <c r="G83" s="1609" t="s">
        <v>717</v>
      </c>
      <c r="H83" s="1609"/>
      <c r="I83" s="174">
        <f>SUM(I85:I86)</f>
        <v>20576226.51000002</v>
      </c>
      <c r="J83" s="174">
        <f>SUM(J85:J86)</f>
        <v>20576226.51000002</v>
      </c>
      <c r="K83" s="167"/>
    </row>
    <row r="84" spans="1:11" s="156" customFormat="1">
      <c r="A84" s="168"/>
      <c r="B84" s="178"/>
      <c r="C84" s="178"/>
      <c r="D84" s="180"/>
      <c r="E84" s="180"/>
      <c r="F84" s="158"/>
      <c r="G84" s="178"/>
      <c r="H84" s="170"/>
      <c r="I84" s="180"/>
      <c r="J84" s="180"/>
      <c r="K84" s="167"/>
    </row>
    <row r="85" spans="1:11" s="156" customFormat="1" ht="12" customHeight="1">
      <c r="A85" s="168"/>
      <c r="B85" s="178"/>
      <c r="C85" s="178"/>
      <c r="D85" s="180"/>
      <c r="E85" s="180"/>
      <c r="F85" s="158"/>
      <c r="G85" s="1605" t="s">
        <v>718</v>
      </c>
      <c r="H85" s="1605"/>
      <c r="I85" s="177">
        <v>-167471499.56999999</v>
      </c>
      <c r="J85" s="177">
        <v>-167471499.56999999</v>
      </c>
      <c r="K85" s="167"/>
    </row>
    <row r="86" spans="1:11" s="156" customFormat="1" ht="12" customHeight="1">
      <c r="A86" s="168"/>
      <c r="B86" s="178"/>
      <c r="C86" s="178"/>
      <c r="D86" s="180"/>
      <c r="E86" s="180"/>
      <c r="F86" s="158"/>
      <c r="G86" s="1605" t="s">
        <v>719</v>
      </c>
      <c r="H86" s="1605"/>
      <c r="I86" s="177">
        <v>188047726.08000001</v>
      </c>
      <c r="J86" s="177">
        <v>188047726.08000001</v>
      </c>
      <c r="K86" s="167"/>
    </row>
    <row r="87" spans="1:11" s="156" customFormat="1" ht="9.9499999999999993" customHeight="1">
      <c r="A87" s="168"/>
      <c r="B87" s="178"/>
      <c r="C87" s="178"/>
      <c r="D87" s="180"/>
      <c r="E87" s="180"/>
      <c r="F87" s="158"/>
      <c r="G87" s="178"/>
      <c r="H87" s="188"/>
      <c r="I87" s="180"/>
      <c r="J87" s="180"/>
      <c r="K87" s="167"/>
    </row>
    <row r="88" spans="1:11" s="156" customFormat="1" ht="12" customHeight="1">
      <c r="A88" s="168"/>
      <c r="B88" s="178"/>
      <c r="C88" s="178"/>
      <c r="D88" s="180"/>
      <c r="E88" s="180"/>
      <c r="F88" s="158"/>
      <c r="G88" s="1609" t="s">
        <v>720</v>
      </c>
      <c r="H88" s="1609"/>
      <c r="I88" s="174">
        <f>I69+I75+I83</f>
        <v>1203058813.99</v>
      </c>
      <c r="J88" s="174">
        <f>J69+J75+J83</f>
        <v>1154448114.7</v>
      </c>
      <c r="K88" s="167"/>
    </row>
    <row r="89" spans="1:11" s="156" customFormat="1" ht="9.9499999999999993" customHeight="1">
      <c r="A89" s="168"/>
      <c r="B89" s="178"/>
      <c r="C89" s="178"/>
      <c r="D89" s="180"/>
      <c r="E89" s="180"/>
      <c r="F89" s="158"/>
      <c r="G89" s="178"/>
      <c r="H89" s="170"/>
      <c r="I89" s="180"/>
      <c r="J89" s="180"/>
      <c r="K89" s="167"/>
    </row>
    <row r="90" spans="1:11" s="156" customFormat="1" ht="12" customHeight="1">
      <c r="A90" s="168"/>
      <c r="B90" s="178"/>
      <c r="C90" s="178"/>
      <c r="D90" s="180"/>
      <c r="E90" s="180"/>
      <c r="F90" s="158"/>
      <c r="G90" s="1609" t="s">
        <v>721</v>
      </c>
      <c r="H90" s="1609"/>
      <c r="I90" s="174">
        <f>I65+I88</f>
        <v>1205776920.9100001</v>
      </c>
      <c r="J90" s="174">
        <f>J65+J88</f>
        <v>1157748367.0800002</v>
      </c>
      <c r="K90" s="167"/>
    </row>
    <row r="91" spans="1:11" s="156" customFormat="1">
      <c r="A91" s="168"/>
      <c r="B91" s="178"/>
      <c r="C91" s="178"/>
      <c r="D91" s="180"/>
      <c r="E91" s="180"/>
      <c r="F91" s="158"/>
      <c r="G91" s="554"/>
      <c r="H91" s="554"/>
      <c r="I91" s="174"/>
      <c r="J91" s="174"/>
      <c r="K91" s="167"/>
    </row>
    <row r="92" spans="1:11" s="156" customFormat="1" ht="6" customHeight="1">
      <c r="A92" s="189"/>
      <c r="B92" s="190"/>
      <c r="C92" s="190"/>
      <c r="D92" s="190"/>
      <c r="E92" s="190"/>
      <c r="F92" s="191"/>
      <c r="G92" s="190"/>
      <c r="H92" s="190"/>
      <c r="I92" s="190"/>
      <c r="J92" s="190"/>
      <c r="K92" s="192"/>
    </row>
    <row r="93" spans="1:11" s="156" customFormat="1" ht="6" customHeight="1">
      <c r="A93" s="157"/>
      <c r="B93" s="170"/>
      <c r="C93" s="193"/>
      <c r="D93" s="194"/>
      <c r="E93" s="194"/>
      <c r="F93" s="158"/>
      <c r="G93" s="195"/>
      <c r="H93" s="193"/>
      <c r="I93" s="194"/>
      <c r="J93" s="194"/>
      <c r="K93" s="157"/>
    </row>
    <row r="94" spans="1:11" s="156" customFormat="1" ht="6" customHeight="1">
      <c r="A94" s="196"/>
      <c r="B94" s="197"/>
      <c r="C94" s="198"/>
      <c r="D94" s="199"/>
      <c r="E94" s="199"/>
      <c r="F94" s="191"/>
      <c r="G94" s="200"/>
      <c r="H94" s="198"/>
      <c r="I94" s="199"/>
      <c r="J94" s="199"/>
      <c r="K94" s="157"/>
    </row>
    <row r="95" spans="1:11" s="156" customFormat="1" ht="6" customHeight="1">
      <c r="A95" s="157"/>
      <c r="B95" s="170"/>
      <c r="C95" s="193"/>
      <c r="D95" s="194"/>
      <c r="E95" s="194"/>
      <c r="F95" s="158"/>
      <c r="G95" s="195"/>
      <c r="H95" s="193"/>
      <c r="I95" s="194"/>
      <c r="J95" s="194"/>
      <c r="K95" s="157"/>
    </row>
    <row r="96" spans="1:11" s="156" customFormat="1" ht="15" customHeight="1">
      <c r="A96" s="157"/>
      <c r="B96" s="1612" t="s">
        <v>664</v>
      </c>
      <c r="C96" s="1612"/>
      <c r="D96" s="1612"/>
      <c r="E96" s="1612"/>
      <c r="F96" s="1612"/>
      <c r="G96" s="1612"/>
      <c r="H96" s="1612"/>
      <c r="I96" s="1612"/>
      <c r="J96" s="1612"/>
      <c r="K96" s="157"/>
    </row>
    <row r="97" spans="1:11" s="156" customFormat="1" ht="9.75" customHeight="1">
      <c r="A97" s="157"/>
      <c r="B97" s="170"/>
      <c r="C97" s="193"/>
      <c r="D97" s="194"/>
      <c r="E97" s="194"/>
      <c r="F97" s="158"/>
      <c r="G97" s="195"/>
      <c r="H97" s="193"/>
      <c r="I97" s="194"/>
      <c r="J97" s="194"/>
      <c r="K97" s="157"/>
    </row>
    <row r="98" spans="1:11" s="156" customFormat="1" ht="50.1" customHeight="1">
      <c r="A98" s="157"/>
      <c r="B98" s="170"/>
      <c r="C98" s="1613"/>
      <c r="D98" s="1613"/>
      <c r="E98" s="194"/>
      <c r="F98" s="158"/>
      <c r="G98" s="1614"/>
      <c r="H98" s="1614"/>
      <c r="I98" s="194"/>
      <c r="J98" s="194"/>
      <c r="K98" s="157"/>
    </row>
    <row r="99" spans="1:11" s="156" customFormat="1" ht="14.1" customHeight="1">
      <c r="A99" s="157"/>
      <c r="B99" s="201"/>
      <c r="C99" s="1615" t="s">
        <v>2867</v>
      </c>
      <c r="D99" s="1615"/>
      <c r="E99" s="194"/>
      <c r="F99" s="202"/>
      <c r="G99" s="1615" t="s">
        <v>665</v>
      </c>
      <c r="H99" s="1615"/>
      <c r="I99" s="171"/>
      <c r="J99" s="194"/>
      <c r="K99" s="157"/>
    </row>
    <row r="100" spans="1:11" s="156" customFormat="1" ht="14.1" customHeight="1">
      <c r="A100" s="157"/>
      <c r="B100" s="203"/>
      <c r="C100" s="1610" t="s">
        <v>1765</v>
      </c>
      <c r="D100" s="1610"/>
      <c r="E100" s="204"/>
      <c r="F100" s="202"/>
      <c r="G100" s="1610" t="s">
        <v>666</v>
      </c>
      <c r="H100" s="1610"/>
      <c r="I100" s="171"/>
      <c r="J100" s="194"/>
      <c r="K100" s="157"/>
    </row>
  </sheetData>
  <sheetProtection formatCells="0" selectLockedCells="1"/>
  <mergeCells count="73">
    <mergeCell ref="C100:D100"/>
    <mergeCell ref="G100:H100"/>
    <mergeCell ref="G69:H69"/>
    <mergeCell ref="G67:H67"/>
    <mergeCell ref="G65:H65"/>
    <mergeCell ref="G90:H90"/>
    <mergeCell ref="B96:J96"/>
    <mergeCell ref="C98:D98"/>
    <mergeCell ref="G98:H98"/>
    <mergeCell ref="C99:D99"/>
    <mergeCell ref="G99:H99"/>
    <mergeCell ref="G80:H80"/>
    <mergeCell ref="G81:H81"/>
    <mergeCell ref="G83:H83"/>
    <mergeCell ref="G85:H85"/>
    <mergeCell ref="G86:H86"/>
    <mergeCell ref="G88:H88"/>
    <mergeCell ref="G71:H71"/>
    <mergeCell ref="G72:H72"/>
    <mergeCell ref="G73:H73"/>
    <mergeCell ref="G75:H75"/>
    <mergeCell ref="G77:H77"/>
    <mergeCell ref="G78:H78"/>
    <mergeCell ref="G79:H79"/>
    <mergeCell ref="B64:C64"/>
    <mergeCell ref="B66:C66"/>
    <mergeCell ref="B68:C68"/>
    <mergeCell ref="B60:C60"/>
    <mergeCell ref="G60:H60"/>
    <mergeCell ref="B61:C61"/>
    <mergeCell ref="G61:H61"/>
    <mergeCell ref="B62:C62"/>
    <mergeCell ref="B63:C63"/>
    <mergeCell ref="G63:H63"/>
    <mergeCell ref="B57:C57"/>
    <mergeCell ref="G57:H57"/>
    <mergeCell ref="B58:C58"/>
    <mergeCell ref="G58:H58"/>
    <mergeCell ref="B59:C59"/>
    <mergeCell ref="G59:H59"/>
    <mergeCell ref="B56:C56"/>
    <mergeCell ref="G56:H56"/>
    <mergeCell ref="B41:C41"/>
    <mergeCell ref="G34:H34"/>
    <mergeCell ref="B42:C42"/>
    <mergeCell ref="G38:H38"/>
    <mergeCell ref="B45:C45"/>
    <mergeCell ref="G45:H45"/>
    <mergeCell ref="G49:H49"/>
    <mergeCell ref="B51:C51"/>
    <mergeCell ref="G52:H52"/>
    <mergeCell ref="B54:C54"/>
    <mergeCell ref="G54:H54"/>
    <mergeCell ref="B25:C25"/>
    <mergeCell ref="G26:H26"/>
    <mergeCell ref="B33:C33"/>
    <mergeCell ref="G30:H30"/>
    <mergeCell ref="B39:C39"/>
    <mergeCell ref="G33:H33"/>
    <mergeCell ref="B13:C13"/>
    <mergeCell ref="G13:H13"/>
    <mergeCell ref="B15:C15"/>
    <mergeCell ref="G15:H15"/>
    <mergeCell ref="B17:C17"/>
    <mergeCell ref="G17:H17"/>
    <mergeCell ref="C3:I3"/>
    <mergeCell ref="C4:I4"/>
    <mergeCell ref="C5:I5"/>
    <mergeCell ref="C6:I6"/>
    <mergeCell ref="A9:A10"/>
    <mergeCell ref="B9:C10"/>
    <mergeCell ref="F9:F10"/>
    <mergeCell ref="G9:H10"/>
  </mergeCells>
  <conditionalFormatting sqref="C72:D79">
    <cfRule type="expression" dxfId="1" priority="1">
      <formula>$E$68&lt;&gt;$J$90</formula>
    </cfRule>
    <cfRule type="expression" dxfId="0" priority="2">
      <formula>$D$68&lt;&gt;$I$90</formula>
    </cfRule>
  </conditionalFormatting>
  <printOptions horizontalCentered="1" verticalCentered="1"/>
  <pageMargins left="0" right="0" top="0.2" bottom="0.18" header="0" footer="0"/>
  <pageSetup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9EB1-9A8B-4A10-B2AB-950FD7BF1B1E}">
  <dimension ref="B1:S100"/>
  <sheetViews>
    <sheetView topLeftCell="A39" workbookViewId="0">
      <selection activeCell="D42" sqref="D42"/>
    </sheetView>
  </sheetViews>
  <sheetFormatPr baseColWidth="10" defaultRowHeight="12.75"/>
  <cols>
    <col min="1" max="1" width="0.85546875" customWidth="1"/>
    <col min="2" max="2" width="47.42578125" style="1199" customWidth="1"/>
    <col min="3" max="4" width="14.7109375" style="1199" customWidth="1"/>
    <col min="5" max="5" width="47.42578125" style="1199" customWidth="1"/>
    <col min="6" max="7" width="14.7109375" customWidth="1"/>
    <col min="8" max="8" width="22.140625" bestFit="1" customWidth="1"/>
  </cols>
  <sheetData>
    <row r="1" spans="2:8" ht="3.75" customHeight="1" thickBot="1">
      <c r="H1" s="858" t="s">
        <v>4863</v>
      </c>
    </row>
    <row r="2" spans="2:8">
      <c r="B2" s="1654" t="s">
        <v>2987</v>
      </c>
      <c r="C2" s="1655"/>
      <c r="D2" s="1655"/>
      <c r="E2" s="1655"/>
      <c r="F2" s="1655"/>
      <c r="G2" s="1656"/>
    </row>
    <row r="3" spans="2:8">
      <c r="B3" s="1657" t="s">
        <v>4864</v>
      </c>
      <c r="C3" s="1658"/>
      <c r="D3" s="1658"/>
      <c r="E3" s="1658"/>
      <c r="F3" s="1658"/>
      <c r="G3" s="1659"/>
    </row>
    <row r="4" spans="2:8" ht="15" customHeight="1">
      <c r="B4" s="1660"/>
      <c r="C4" s="1661"/>
      <c r="D4" s="1661"/>
      <c r="E4" s="1661"/>
      <c r="F4" s="1661"/>
      <c r="G4" s="1662"/>
    </row>
    <row r="5" spans="2:8" ht="13.5" thickBot="1">
      <c r="B5" s="1663" t="s">
        <v>4865</v>
      </c>
      <c r="C5" s="1664"/>
      <c r="D5" s="1664"/>
      <c r="E5" s="1664"/>
      <c r="F5" s="1664"/>
      <c r="G5" s="1665"/>
    </row>
    <row r="6" spans="2:8" ht="24.75" thickBot="1">
      <c r="B6" s="1200" t="s">
        <v>4866</v>
      </c>
      <c r="C6" s="1200" t="s">
        <v>5632</v>
      </c>
      <c r="D6" s="1200" t="s">
        <v>5633</v>
      </c>
      <c r="E6" s="1200" t="s">
        <v>4866</v>
      </c>
      <c r="F6" s="1200" t="s">
        <v>5632</v>
      </c>
      <c r="G6" s="1200" t="s">
        <v>5633</v>
      </c>
    </row>
    <row r="7" spans="2:8">
      <c r="B7" s="1201" t="s">
        <v>1018</v>
      </c>
      <c r="C7" s="1202"/>
      <c r="D7" s="1202"/>
      <c r="E7" s="1203" t="s">
        <v>669</v>
      </c>
      <c r="F7" s="1204"/>
      <c r="G7" s="1204"/>
    </row>
    <row r="8" spans="2:8">
      <c r="B8" s="1201" t="s">
        <v>670</v>
      </c>
      <c r="C8" s="1205"/>
      <c r="D8" s="1205"/>
      <c r="E8" s="1203" t="s">
        <v>671</v>
      </c>
      <c r="F8" s="1206"/>
      <c r="G8" s="1206"/>
    </row>
    <row r="9" spans="2:8" ht="24">
      <c r="B9" s="1207" t="s">
        <v>4867</v>
      </c>
      <c r="C9" s="1208">
        <f>SUM(C10:C16)</f>
        <v>204262855.45999998</v>
      </c>
      <c r="D9" s="1208">
        <f>SUM(D10:D16)</f>
        <v>192432921.41000003</v>
      </c>
      <c r="E9" s="1209" t="s">
        <v>4868</v>
      </c>
      <c r="F9" s="1208">
        <f>SUM(F10:F18)</f>
        <v>2718060.53</v>
      </c>
      <c r="G9" s="1208">
        <f>SUM(G10:G18)</f>
        <v>3290802.8</v>
      </c>
    </row>
    <row r="10" spans="2:8">
      <c r="B10" s="1210" t="s">
        <v>4869</v>
      </c>
      <c r="C10" s="1211">
        <f>+'ESF det'!D18</f>
        <v>11000</v>
      </c>
      <c r="D10" s="1211">
        <f>+'ESF det'!E18</f>
        <v>11000</v>
      </c>
      <c r="E10" s="1212" t="s">
        <v>4870</v>
      </c>
      <c r="F10" s="1211">
        <v>0</v>
      </c>
      <c r="G10" s="1211">
        <v>0</v>
      </c>
    </row>
    <row r="11" spans="2:8">
      <c r="B11" s="1210" t="s">
        <v>4871</v>
      </c>
      <c r="C11" s="1211">
        <f>+'ESF det'!D19</f>
        <v>117340822.77</v>
      </c>
      <c r="D11" s="1211">
        <f>+'ESF det'!E19</f>
        <v>27566078.359999999</v>
      </c>
      <c r="E11" s="1212" t="s">
        <v>4872</v>
      </c>
      <c r="F11" s="1211">
        <v>0</v>
      </c>
      <c r="G11" s="1211">
        <v>0</v>
      </c>
    </row>
    <row r="12" spans="2:8" ht="24">
      <c r="B12" s="1210" t="s">
        <v>4873</v>
      </c>
      <c r="C12" s="1211">
        <v>0</v>
      </c>
      <c r="D12" s="1211">
        <v>0</v>
      </c>
      <c r="E12" s="1212" t="s">
        <v>4874</v>
      </c>
      <c r="F12" s="1211">
        <v>0</v>
      </c>
      <c r="G12" s="1211">
        <v>0</v>
      </c>
    </row>
    <row r="13" spans="2:8" ht="24">
      <c r="B13" s="1210" t="s">
        <v>4875</v>
      </c>
      <c r="C13" s="1211">
        <f>+'ESF det'!D21</f>
        <v>86911032.689999998</v>
      </c>
      <c r="D13" s="1211">
        <f>+'ESF det'!E21</f>
        <v>164855843.05000001</v>
      </c>
      <c r="E13" s="1212" t="s">
        <v>4876</v>
      </c>
      <c r="F13" s="1211">
        <v>0</v>
      </c>
      <c r="G13" s="1211">
        <v>0</v>
      </c>
    </row>
    <row r="14" spans="2:8" ht="22.15" customHeight="1">
      <c r="B14" s="1210" t="s">
        <v>4877</v>
      </c>
      <c r="C14" s="1211">
        <v>0</v>
      </c>
      <c r="D14" s="1211">
        <v>0</v>
      </c>
      <c r="E14" s="1212" t="s">
        <v>4878</v>
      </c>
      <c r="F14" s="1211">
        <v>0</v>
      </c>
      <c r="G14" s="1211">
        <v>0</v>
      </c>
    </row>
    <row r="15" spans="2:8" ht="24">
      <c r="B15" s="1210" t="s">
        <v>4879</v>
      </c>
      <c r="C15" s="1211">
        <v>0</v>
      </c>
      <c r="D15" s="1211">
        <v>0</v>
      </c>
      <c r="E15" s="1212" t="s">
        <v>4880</v>
      </c>
      <c r="F15" s="1211">
        <v>0</v>
      </c>
      <c r="G15" s="1211">
        <v>0</v>
      </c>
    </row>
    <row r="16" spans="2:8" ht="24">
      <c r="B16" s="1210" t="s">
        <v>4881</v>
      </c>
      <c r="C16" s="1211">
        <v>0</v>
      </c>
      <c r="D16" s="1211">
        <v>0</v>
      </c>
      <c r="E16" s="1212" t="s">
        <v>4882</v>
      </c>
      <c r="F16" s="1211">
        <f>+'ESF det'!I24</f>
        <v>1694817.41</v>
      </c>
      <c r="G16" s="1211">
        <f>+'ESF det'!J24</f>
        <v>2485657.73</v>
      </c>
    </row>
    <row r="17" spans="2:7" ht="24">
      <c r="B17" s="1207" t="s">
        <v>4883</v>
      </c>
      <c r="C17" s="1208">
        <f>SUM(C18:C24)</f>
        <v>12535750.810000001</v>
      </c>
      <c r="D17" s="1208">
        <f>SUM(D18:D24)</f>
        <v>30004506.859999999</v>
      </c>
      <c r="E17" s="1212" t="s">
        <v>4884</v>
      </c>
      <c r="F17" s="1211">
        <v>0</v>
      </c>
      <c r="G17" s="1211">
        <v>0</v>
      </c>
    </row>
    <row r="18" spans="2:7">
      <c r="B18" s="1210" t="s">
        <v>4885</v>
      </c>
      <c r="C18" s="1211">
        <v>0</v>
      </c>
      <c r="D18" s="1211">
        <v>0</v>
      </c>
      <c r="E18" s="1212" t="s">
        <v>4886</v>
      </c>
      <c r="F18" s="1211">
        <f>+'ESF det'!I25</f>
        <v>1023243.12</v>
      </c>
      <c r="G18" s="1211">
        <f>+'ESF det'!J25</f>
        <v>805145.07</v>
      </c>
    </row>
    <row r="19" spans="2:7">
      <c r="B19" s="1210" t="s">
        <v>4887</v>
      </c>
      <c r="C19" s="1211">
        <f>+'ESF det'!D27</f>
        <v>8309472.2800000003</v>
      </c>
      <c r="D19" s="1211">
        <f>+'ESF det'!E27</f>
        <v>15440775.220000001</v>
      </c>
      <c r="E19" s="1209" t="s">
        <v>4888</v>
      </c>
      <c r="F19" s="1208">
        <f>SUM(F20:F22)</f>
        <v>0</v>
      </c>
      <c r="G19" s="1208">
        <f>SUM(G20:G22)</f>
        <v>0</v>
      </c>
    </row>
    <row r="20" spans="2:7" ht="24">
      <c r="B20" s="1210" t="s">
        <v>4889</v>
      </c>
      <c r="C20" s="1211">
        <f>+'ESF det'!D28</f>
        <v>26379.15</v>
      </c>
      <c r="D20" s="1211">
        <f>+'ESF det'!E28</f>
        <v>7044674.3300000001</v>
      </c>
      <c r="E20" s="1212" t="s">
        <v>4890</v>
      </c>
      <c r="F20" s="1211">
        <v>0</v>
      </c>
      <c r="G20" s="1211">
        <v>0</v>
      </c>
    </row>
    <row r="21" spans="2:7" ht="24">
      <c r="B21" s="1210" t="s">
        <v>4891</v>
      </c>
      <c r="C21" s="1211">
        <f>+'ESF det'!D29</f>
        <v>4199899.38</v>
      </c>
      <c r="D21" s="1211">
        <f>+'ESF det'!E29</f>
        <v>7518457.3099999996</v>
      </c>
      <c r="E21" s="1212" t="s">
        <v>4892</v>
      </c>
      <c r="F21" s="1211">
        <v>0</v>
      </c>
      <c r="G21" s="1211">
        <v>0</v>
      </c>
    </row>
    <row r="22" spans="2:7" ht="24">
      <c r="B22" s="1210" t="s">
        <v>4893</v>
      </c>
      <c r="C22" s="1211">
        <f>+'ESF det'!D30</f>
        <v>0</v>
      </c>
      <c r="D22" s="1211">
        <f>+'ESF det'!E30</f>
        <v>600</v>
      </c>
      <c r="E22" s="1212" t="s">
        <v>4894</v>
      </c>
      <c r="F22" s="1211">
        <v>0</v>
      </c>
      <c r="G22" s="1211">
        <v>0</v>
      </c>
    </row>
    <row r="23" spans="2:7" ht="24">
      <c r="B23" s="1210" t="s">
        <v>4895</v>
      </c>
      <c r="C23" s="1211">
        <v>0</v>
      </c>
      <c r="D23" s="1211">
        <v>0</v>
      </c>
      <c r="E23" s="1209" t="s">
        <v>4896</v>
      </c>
      <c r="F23" s="1208">
        <f>SUM(F24:F25)</f>
        <v>0</v>
      </c>
      <c r="G23" s="1208">
        <f>SUM(G24:G25)</f>
        <v>0</v>
      </c>
    </row>
    <row r="24" spans="2:7" ht="24">
      <c r="B24" s="1210" t="s">
        <v>4897</v>
      </c>
      <c r="C24" s="1211">
        <v>0</v>
      </c>
      <c r="D24" s="1211">
        <v>0</v>
      </c>
      <c r="E24" s="1212" t="s">
        <v>4898</v>
      </c>
      <c r="F24" s="1211">
        <v>0</v>
      </c>
      <c r="G24" s="1211">
        <v>0</v>
      </c>
    </row>
    <row r="25" spans="2:7" ht="24">
      <c r="B25" s="1207" t="s">
        <v>4899</v>
      </c>
      <c r="C25" s="1208">
        <f>SUM(C26:C30)</f>
        <v>312349.13</v>
      </c>
      <c r="D25" s="1208">
        <f>SUM(D26:D30)</f>
        <v>292951.38</v>
      </c>
      <c r="E25" s="1212" t="s">
        <v>4900</v>
      </c>
      <c r="F25" s="1211">
        <v>0</v>
      </c>
      <c r="G25" s="1211">
        <v>0</v>
      </c>
    </row>
    <row r="26" spans="2:7" ht="24">
      <c r="B26" s="1210" t="s">
        <v>4901</v>
      </c>
      <c r="C26" s="1211">
        <f>+'ESF det'!D34</f>
        <v>16301</v>
      </c>
      <c r="D26" s="1211">
        <f>+'ESF det'!E34</f>
        <v>15380</v>
      </c>
      <c r="E26" s="1209" t="s">
        <v>4902</v>
      </c>
      <c r="F26" s="1213">
        <v>0</v>
      </c>
      <c r="G26" s="1213">
        <v>0</v>
      </c>
    </row>
    <row r="27" spans="2:7" ht="24">
      <c r="B27" s="1210" t="s">
        <v>4903</v>
      </c>
      <c r="C27" s="1211">
        <v>0</v>
      </c>
      <c r="D27" s="1211">
        <v>0</v>
      </c>
      <c r="E27" s="1209" t="s">
        <v>4904</v>
      </c>
      <c r="F27" s="1208">
        <f>SUM(F28:F30)</f>
        <v>46.39</v>
      </c>
      <c r="G27" s="1208">
        <f>SUM(G28:G30)</f>
        <v>9449.58</v>
      </c>
    </row>
    <row r="28" spans="2:7" ht="24">
      <c r="B28" s="1210" t="s">
        <v>4905</v>
      </c>
      <c r="C28" s="1211">
        <f>+'ESF det'!D36</f>
        <v>296048.13</v>
      </c>
      <c r="D28" s="1211">
        <f>+'ESF det'!E36</f>
        <v>277571.38</v>
      </c>
      <c r="E28" s="1212" t="s">
        <v>4906</v>
      </c>
      <c r="F28" s="1211">
        <f>+'ESF det'!I35</f>
        <v>46.39</v>
      </c>
      <c r="G28" s="1211">
        <f>+'ESF det'!J35</f>
        <v>9449.58</v>
      </c>
    </row>
    <row r="29" spans="2:7" ht="25.15" customHeight="1">
      <c r="B29" s="1210" t="s">
        <v>4907</v>
      </c>
      <c r="C29" s="1211">
        <f>+'ESF det'!D37</f>
        <v>0</v>
      </c>
      <c r="D29" s="1211">
        <v>0</v>
      </c>
      <c r="E29" s="1212" t="s">
        <v>4908</v>
      </c>
      <c r="F29" s="1211">
        <v>0</v>
      </c>
      <c r="G29" s="1211">
        <v>0</v>
      </c>
    </row>
    <row r="30" spans="2:7" ht="28.9" customHeight="1">
      <c r="B30" s="1210" t="s">
        <v>4909</v>
      </c>
      <c r="C30" s="1211">
        <v>0</v>
      </c>
      <c r="D30" s="1211">
        <v>0</v>
      </c>
      <c r="E30" s="1212" t="s">
        <v>4910</v>
      </c>
      <c r="F30" s="1211">
        <v>0</v>
      </c>
      <c r="G30" s="1211">
        <v>0</v>
      </c>
    </row>
    <row r="31" spans="2:7" ht="24">
      <c r="B31" s="1207" t="s">
        <v>4911</v>
      </c>
      <c r="C31" s="1208">
        <f>SUM(C32:C36)</f>
        <v>0</v>
      </c>
      <c r="D31" s="1208">
        <f>SUM(D32:D36)</f>
        <v>0</v>
      </c>
      <c r="E31" s="1209" t="s">
        <v>4912</v>
      </c>
      <c r="F31" s="1208">
        <f>SUM(F32:F37)</f>
        <v>0</v>
      </c>
      <c r="G31" s="1208">
        <f>SUM(G32:G37)</f>
        <v>0</v>
      </c>
    </row>
    <row r="32" spans="2:7">
      <c r="B32" s="1210" t="s">
        <v>4913</v>
      </c>
      <c r="C32" s="1211">
        <v>0</v>
      </c>
      <c r="D32" s="1211">
        <v>0</v>
      </c>
      <c r="E32" s="1212" t="s">
        <v>4914</v>
      </c>
      <c r="F32" s="1211">
        <v>0</v>
      </c>
      <c r="G32" s="1211">
        <v>0</v>
      </c>
    </row>
    <row r="33" spans="2:7">
      <c r="B33" s="1210" t="s">
        <v>4915</v>
      </c>
      <c r="C33" s="1211">
        <v>0</v>
      </c>
      <c r="D33" s="1211">
        <v>0</v>
      </c>
      <c r="E33" s="1212" t="s">
        <v>4916</v>
      </c>
      <c r="F33" s="1211">
        <v>0</v>
      </c>
      <c r="G33" s="1211">
        <v>0</v>
      </c>
    </row>
    <row r="34" spans="2:7" ht="24">
      <c r="B34" s="1210" t="s">
        <v>4917</v>
      </c>
      <c r="C34" s="1211">
        <v>0</v>
      </c>
      <c r="D34" s="1211">
        <v>0</v>
      </c>
      <c r="E34" s="1212" t="s">
        <v>4918</v>
      </c>
      <c r="F34" s="1211">
        <v>0</v>
      </c>
      <c r="G34" s="1211">
        <v>0</v>
      </c>
    </row>
    <row r="35" spans="2:7" ht="24">
      <c r="B35" s="1210" t="s">
        <v>4919</v>
      </c>
      <c r="C35" s="1211">
        <v>0</v>
      </c>
      <c r="D35" s="1211">
        <v>0</v>
      </c>
      <c r="E35" s="1212" t="s">
        <v>4920</v>
      </c>
      <c r="F35" s="1211">
        <v>0</v>
      </c>
      <c r="G35" s="1211">
        <v>0</v>
      </c>
    </row>
    <row r="36" spans="2:7" ht="24">
      <c r="B36" s="1210" t="s">
        <v>4921</v>
      </c>
      <c r="C36" s="1211">
        <v>0</v>
      </c>
      <c r="D36" s="1211">
        <v>0</v>
      </c>
      <c r="E36" s="1212" t="s">
        <v>4922</v>
      </c>
      <c r="F36" s="1211">
        <v>0</v>
      </c>
      <c r="G36" s="1211">
        <v>0</v>
      </c>
    </row>
    <row r="37" spans="2:7">
      <c r="B37" s="1207" t="s">
        <v>4923</v>
      </c>
      <c r="C37" s="1213">
        <v>0</v>
      </c>
      <c r="D37" s="1213">
        <v>0</v>
      </c>
      <c r="E37" s="1212" t="s">
        <v>4924</v>
      </c>
      <c r="F37" s="1211">
        <v>0</v>
      </c>
      <c r="G37" s="1211">
        <v>0</v>
      </c>
    </row>
    <row r="38" spans="2:7" ht="24">
      <c r="B38" s="1207" t="s">
        <v>4925</v>
      </c>
      <c r="C38" s="1208">
        <f>SUM(C39:C40)</f>
        <v>0</v>
      </c>
      <c r="D38" s="1208">
        <f>SUM(D39:D40)</f>
        <v>0</v>
      </c>
      <c r="E38" s="1209" t="s">
        <v>4926</v>
      </c>
      <c r="F38" s="1208">
        <f>SUM(F39:F41)</f>
        <v>0</v>
      </c>
      <c r="G38" s="1208">
        <f>SUM(G39:G41)</f>
        <v>0</v>
      </c>
    </row>
    <row r="39" spans="2:7" ht="24">
      <c r="B39" s="1210" t="s">
        <v>4927</v>
      </c>
      <c r="C39" s="1211">
        <v>0</v>
      </c>
      <c r="D39" s="1211">
        <v>0</v>
      </c>
      <c r="E39" s="1212" t="s">
        <v>4928</v>
      </c>
      <c r="F39" s="1211">
        <v>0</v>
      </c>
      <c r="G39" s="1211">
        <v>0</v>
      </c>
    </row>
    <row r="40" spans="2:7">
      <c r="B40" s="1210" t="s">
        <v>4929</v>
      </c>
      <c r="C40" s="1211">
        <v>0</v>
      </c>
      <c r="D40" s="1211">
        <v>0</v>
      </c>
      <c r="E40" s="1212" t="s">
        <v>4930</v>
      </c>
      <c r="F40" s="1211">
        <v>0</v>
      </c>
      <c r="G40" s="1211">
        <v>0</v>
      </c>
    </row>
    <row r="41" spans="2:7">
      <c r="B41" s="1207" t="s">
        <v>4931</v>
      </c>
      <c r="C41" s="1208">
        <f>SUM(C42:C45)</f>
        <v>168821.74</v>
      </c>
      <c r="D41" s="1208">
        <f>SUM(D42:D45)</f>
        <v>163103.14000000001</v>
      </c>
      <c r="E41" s="1212" t="s">
        <v>4932</v>
      </c>
      <c r="F41" s="1211">
        <v>0</v>
      </c>
      <c r="G41" s="1211">
        <v>0</v>
      </c>
    </row>
    <row r="42" spans="2:7">
      <c r="B42" s="1210" t="s">
        <v>4933</v>
      </c>
      <c r="C42" s="1211">
        <f>+'ESF det'!D46</f>
        <v>168821.74</v>
      </c>
      <c r="D42" s="1211">
        <f>+'ESF det'!E46</f>
        <v>163103.14000000001</v>
      </c>
      <c r="E42" s="1209" t="s">
        <v>4934</v>
      </c>
      <c r="F42" s="1208">
        <f>SUM(F43:F45)</f>
        <v>0</v>
      </c>
      <c r="G42" s="1208">
        <f>SUM(G43:G45)</f>
        <v>0</v>
      </c>
    </row>
    <row r="43" spans="2:7" ht="24">
      <c r="B43" s="1210" t="s">
        <v>4935</v>
      </c>
      <c r="C43" s="1211">
        <v>0</v>
      </c>
      <c r="D43" s="1211">
        <v>0</v>
      </c>
      <c r="E43" s="1212" t="s">
        <v>4936</v>
      </c>
      <c r="F43" s="1211">
        <v>0</v>
      </c>
      <c r="G43" s="1211">
        <v>0</v>
      </c>
    </row>
    <row r="44" spans="2:7" ht="24">
      <c r="B44" s="1210" t="s">
        <v>4937</v>
      </c>
      <c r="C44" s="1211">
        <v>0</v>
      </c>
      <c r="D44" s="1211">
        <v>0</v>
      </c>
      <c r="E44" s="1212" t="s">
        <v>4938</v>
      </c>
      <c r="F44" s="1211">
        <v>0</v>
      </c>
      <c r="G44" s="1211">
        <v>0</v>
      </c>
    </row>
    <row r="45" spans="2:7">
      <c r="B45" s="1210" t="s">
        <v>4939</v>
      </c>
      <c r="C45" s="1211">
        <v>0</v>
      </c>
      <c r="D45" s="1211">
        <v>0</v>
      </c>
      <c r="E45" s="1212" t="s">
        <v>4940</v>
      </c>
      <c r="F45" s="1211">
        <v>0</v>
      </c>
      <c r="G45" s="1211">
        <v>0</v>
      </c>
    </row>
    <row r="46" spans="2:7" ht="15.75" customHeight="1">
      <c r="B46" s="1207"/>
      <c r="C46" s="1214"/>
      <c r="D46" s="1214"/>
      <c r="E46" s="1209"/>
      <c r="F46" s="1214"/>
      <c r="G46" s="1214"/>
    </row>
    <row r="47" spans="2:7" ht="24">
      <c r="B47" s="1201" t="s">
        <v>4941</v>
      </c>
      <c r="C47" s="1208">
        <f>SUM(C41,C38,C37,C31,C25,C17,C9)</f>
        <v>217279777.13999999</v>
      </c>
      <c r="D47" s="1208">
        <f>SUM(D41,D38,D37,D31,D25,D17,D9)</f>
        <v>222893482.79000002</v>
      </c>
      <c r="E47" s="1203" t="s">
        <v>4942</v>
      </c>
      <c r="F47" s="1208">
        <f>SUM(F42,F38,F31,F27,F26,F23,F19,F9)</f>
        <v>2718106.92</v>
      </c>
      <c r="G47" s="1208">
        <f>SUM(G42,G38,G31,G27,G26,G23,G19,G9)</f>
        <v>3300252.38</v>
      </c>
    </row>
    <row r="48" spans="2:7" ht="15" customHeight="1">
      <c r="B48" s="1215"/>
      <c r="C48" s="1214"/>
      <c r="D48" s="1216"/>
      <c r="E48" s="1217"/>
      <c r="F48" s="1214"/>
      <c r="G48" s="1214"/>
    </row>
    <row r="49" spans="2:7">
      <c r="B49" s="1201" t="s">
        <v>688</v>
      </c>
      <c r="C49" s="1214"/>
      <c r="D49" s="1216"/>
      <c r="E49" s="1203" t="s">
        <v>689</v>
      </c>
      <c r="F49" s="1214"/>
      <c r="G49" s="1214"/>
    </row>
    <row r="50" spans="2:7">
      <c r="B50" s="1207" t="s">
        <v>4943</v>
      </c>
      <c r="C50" s="1211">
        <f>+'ESF det'!D56</f>
        <v>1758830</v>
      </c>
      <c r="D50" s="1211">
        <f>+'ESF det'!E56</f>
        <v>1758830</v>
      </c>
      <c r="E50" s="1209" t="s">
        <v>4944</v>
      </c>
      <c r="F50" s="1211">
        <v>0</v>
      </c>
      <c r="G50" s="1211">
        <v>0</v>
      </c>
    </row>
    <row r="51" spans="2:7" ht="24">
      <c r="B51" s="1207" t="s">
        <v>4945</v>
      </c>
      <c r="C51" s="1211">
        <f>+'ESF det'!D57</f>
        <v>0</v>
      </c>
      <c r="D51" s="1211">
        <f>+'ESF det'!E57</f>
        <v>0</v>
      </c>
      <c r="E51" s="1209" t="s">
        <v>4946</v>
      </c>
      <c r="F51" s="1211">
        <v>0</v>
      </c>
      <c r="G51" s="1211">
        <v>0</v>
      </c>
    </row>
    <row r="52" spans="2:7" ht="24">
      <c r="B52" s="1207" t="s">
        <v>4947</v>
      </c>
      <c r="C52" s="1211">
        <f>+'ESF det'!D58</f>
        <v>1006003271.84</v>
      </c>
      <c r="D52" s="1211">
        <f>+'ESF det'!E58</f>
        <v>947679244.29999995</v>
      </c>
      <c r="E52" s="1209" t="s">
        <v>4948</v>
      </c>
      <c r="F52" s="1211">
        <v>0</v>
      </c>
      <c r="G52" s="1211">
        <v>0</v>
      </c>
    </row>
    <row r="53" spans="2:7">
      <c r="B53" s="1207" t="s">
        <v>4949</v>
      </c>
      <c r="C53" s="1211">
        <f>+'ESF det'!D59</f>
        <v>12366082.059999999</v>
      </c>
      <c r="D53" s="1211">
        <f>+'ESF det'!E59</f>
        <v>12279237.109999999</v>
      </c>
      <c r="E53" s="1209" t="s">
        <v>4950</v>
      </c>
      <c r="F53" s="1211">
        <v>0</v>
      </c>
      <c r="G53" s="1211">
        <v>0</v>
      </c>
    </row>
    <row r="54" spans="2:7" ht="24">
      <c r="B54" s="1207" t="s">
        <v>4951</v>
      </c>
      <c r="C54" s="1211">
        <f>+'ESF det'!D60</f>
        <v>9131355.4499999993</v>
      </c>
      <c r="D54" s="1211">
        <f>+'ESF det'!E60</f>
        <v>8744971.7599999998</v>
      </c>
      <c r="E54" s="1209" t="s">
        <v>4952</v>
      </c>
      <c r="F54" s="1211">
        <v>0</v>
      </c>
      <c r="G54" s="1211">
        <v>0</v>
      </c>
    </row>
    <row r="55" spans="2:7" ht="21" customHeight="1">
      <c r="B55" s="1207" t="s">
        <v>4953</v>
      </c>
      <c r="C55" s="1211">
        <f>+'ESF det'!D61</f>
        <v>-40762395.579999998</v>
      </c>
      <c r="D55" s="1211">
        <f>+'ESF det'!E61</f>
        <v>-35607398.879999995</v>
      </c>
      <c r="E55" s="1209" t="s">
        <v>4954</v>
      </c>
      <c r="F55" s="1211">
        <v>0</v>
      </c>
      <c r="G55" s="1211">
        <v>0</v>
      </c>
    </row>
    <row r="56" spans="2:7">
      <c r="B56" s="1207" t="s">
        <v>4955</v>
      </c>
      <c r="C56" s="1211">
        <v>0</v>
      </c>
      <c r="D56" s="1211">
        <v>0</v>
      </c>
      <c r="E56" s="1203"/>
      <c r="F56" s="1214"/>
      <c r="G56" s="1214"/>
    </row>
    <row r="57" spans="2:7" ht="24">
      <c r="B57" s="1207" t="s">
        <v>4956</v>
      </c>
      <c r="C57" s="1211">
        <v>0</v>
      </c>
      <c r="D57" s="1211">
        <v>0</v>
      </c>
      <c r="E57" s="1203" t="s">
        <v>4957</v>
      </c>
      <c r="F57" s="1208">
        <f>SUM(F50:F55)</f>
        <v>0</v>
      </c>
      <c r="G57" s="1208">
        <f>SUM(G50:G55)</f>
        <v>0</v>
      </c>
    </row>
    <row r="58" spans="2:7">
      <c r="B58" s="1207" t="s">
        <v>4958</v>
      </c>
      <c r="C58" s="1211">
        <v>0</v>
      </c>
      <c r="D58" s="1211">
        <v>0</v>
      </c>
      <c r="E58" s="1218"/>
      <c r="F58" s="1214"/>
      <c r="G58" s="1214"/>
    </row>
    <row r="59" spans="2:7">
      <c r="B59" s="1207"/>
      <c r="C59" s="1214"/>
      <c r="D59" s="1214"/>
      <c r="E59" s="1203" t="s">
        <v>4959</v>
      </c>
      <c r="F59" s="1208">
        <f>SUM(F47,F57)</f>
        <v>2718106.92</v>
      </c>
      <c r="G59" s="1208">
        <f>SUM(G47,G57)</f>
        <v>3300252.38</v>
      </c>
    </row>
    <row r="60" spans="2:7" ht="24">
      <c r="B60" s="1201" t="s">
        <v>4960</v>
      </c>
      <c r="C60" s="1208">
        <f>SUM(C50:C58)</f>
        <v>988497143.76999998</v>
      </c>
      <c r="D60" s="1208">
        <f>SUM(D50:D58)</f>
        <v>934854884.28999996</v>
      </c>
      <c r="E60" s="1209"/>
      <c r="F60" s="1214"/>
      <c r="G60" s="1214"/>
    </row>
    <row r="61" spans="2:7">
      <c r="B61" s="1207"/>
      <c r="C61" s="1214"/>
      <c r="D61" s="1214"/>
      <c r="E61" s="1203" t="s">
        <v>4741</v>
      </c>
      <c r="F61" s="1214"/>
      <c r="G61" s="1214"/>
    </row>
    <row r="62" spans="2:7">
      <c r="B62" s="1201" t="s">
        <v>4961</v>
      </c>
      <c r="C62" s="1208">
        <f>SUM(C47,C60)</f>
        <v>1205776920.9099998</v>
      </c>
      <c r="D62" s="1208">
        <f>SUM(D47,D60)</f>
        <v>1157748367.0799999</v>
      </c>
      <c r="E62" s="1203"/>
      <c r="F62" s="1214"/>
      <c r="G62" s="1214"/>
    </row>
    <row r="63" spans="2:7" ht="24">
      <c r="B63" s="1215"/>
      <c r="C63" s="1219"/>
      <c r="D63" s="1219"/>
      <c r="E63" s="1203" t="s">
        <v>4962</v>
      </c>
      <c r="F63" s="1208">
        <f>SUM(F64:F66)</f>
        <v>278482908.89999998</v>
      </c>
      <c r="G63" s="1208">
        <f>SUM(G64:G66)</f>
        <v>278482908.89999998</v>
      </c>
    </row>
    <row r="64" spans="2:7">
      <c r="B64" s="1215"/>
      <c r="C64" s="1219"/>
      <c r="D64" s="1219"/>
      <c r="E64" s="1209" t="s">
        <v>4963</v>
      </c>
      <c r="F64" s="1211">
        <f>+'ESF det'!I71</f>
        <v>10952891.960000001</v>
      </c>
      <c r="G64" s="1211">
        <f>+'ESF det'!J71</f>
        <v>10952891.960000001</v>
      </c>
    </row>
    <row r="65" spans="2:7">
      <c r="B65" s="1215"/>
      <c r="C65" s="1219"/>
      <c r="D65" s="1219"/>
      <c r="E65" s="1209" t="s">
        <v>4964</v>
      </c>
      <c r="F65" s="1211">
        <v>0</v>
      </c>
      <c r="G65" s="1211">
        <v>0</v>
      </c>
    </row>
    <row r="66" spans="2:7">
      <c r="B66" s="1215"/>
      <c r="C66" s="1219"/>
      <c r="D66" s="1219"/>
      <c r="E66" s="1209" t="s">
        <v>4965</v>
      </c>
      <c r="F66" s="1211">
        <f>+'ESF det'!I73</f>
        <v>267530016.94</v>
      </c>
      <c r="G66" s="1211">
        <f>+'ESF det'!J73</f>
        <v>267530016.94</v>
      </c>
    </row>
    <row r="67" spans="2:7" ht="14.25" customHeight="1">
      <c r="B67" s="1215"/>
      <c r="C67" s="1219"/>
      <c r="D67" s="1219"/>
      <c r="E67" s="1209"/>
      <c r="F67" s="1214"/>
      <c r="G67" s="1214"/>
    </row>
    <row r="68" spans="2:7" ht="24">
      <c r="B68" s="1215"/>
      <c r="C68" s="1219"/>
      <c r="D68" s="1219"/>
      <c r="E68" s="1203" t="s">
        <v>4966</v>
      </c>
      <c r="F68" s="1208">
        <f>SUM(F69:F73)</f>
        <v>903999678.57999992</v>
      </c>
      <c r="G68" s="1208">
        <f>SUM(G69:G73)</f>
        <v>855388979.29000008</v>
      </c>
    </row>
    <row r="69" spans="2:7">
      <c r="B69" s="1215"/>
      <c r="C69" s="1219"/>
      <c r="D69" s="1219"/>
      <c r="E69" s="1209" t="s">
        <v>4967</v>
      </c>
      <c r="F69" s="1211">
        <f>+'ESF det'!I77</f>
        <v>48610699.289999999</v>
      </c>
      <c r="G69" s="1211">
        <f>+'ESF det'!J77</f>
        <v>82707402.840000004</v>
      </c>
    </row>
    <row r="70" spans="2:7">
      <c r="B70" s="1215"/>
      <c r="C70" s="1219"/>
      <c r="D70" s="1219"/>
      <c r="E70" s="1209" t="s">
        <v>4968</v>
      </c>
      <c r="F70" s="1211">
        <f>+'ESF det'!I78</f>
        <v>855388979.28999996</v>
      </c>
      <c r="G70" s="1211">
        <f>+'ESF det'!J78</f>
        <v>772681576.45000005</v>
      </c>
    </row>
    <row r="71" spans="2:7">
      <c r="B71" s="1215"/>
      <c r="C71" s="1219"/>
      <c r="D71" s="1219"/>
      <c r="E71" s="1209" t="s">
        <v>4969</v>
      </c>
      <c r="F71" s="1211">
        <v>0</v>
      </c>
      <c r="G71" s="1211">
        <v>0</v>
      </c>
    </row>
    <row r="72" spans="2:7">
      <c r="B72" s="1215"/>
      <c r="C72" s="1219"/>
      <c r="D72" s="1219"/>
      <c r="E72" s="1209" t="s">
        <v>4970</v>
      </c>
      <c r="F72" s="1211">
        <v>0</v>
      </c>
      <c r="G72" s="1211">
        <v>0</v>
      </c>
    </row>
    <row r="73" spans="2:7" ht="24">
      <c r="B73" s="1215"/>
      <c r="C73" s="1219"/>
      <c r="D73" s="1219"/>
      <c r="E73" s="1209" t="s">
        <v>4971</v>
      </c>
      <c r="F73" s="1211">
        <v>0</v>
      </c>
      <c r="G73" s="1211">
        <v>0</v>
      </c>
    </row>
    <row r="74" spans="2:7" ht="15" customHeight="1">
      <c r="B74" s="1215"/>
      <c r="C74" s="1219"/>
      <c r="D74" s="1219"/>
      <c r="E74" s="1209"/>
      <c r="F74" s="1214"/>
      <c r="G74" s="1214"/>
    </row>
    <row r="75" spans="2:7" ht="24">
      <c r="B75" s="1215"/>
      <c r="C75" s="1219"/>
      <c r="D75" s="1219"/>
      <c r="E75" s="1203" t="s">
        <v>4972</v>
      </c>
      <c r="F75" s="1208">
        <f>SUM(F76:F77)</f>
        <v>20576226.51000002</v>
      </c>
      <c r="G75" s="1208">
        <f>SUM(G76:G77)</f>
        <v>20576226.51000002</v>
      </c>
    </row>
    <row r="76" spans="2:7">
      <c r="B76" s="1215"/>
      <c r="C76" s="1219"/>
      <c r="D76" s="1219"/>
      <c r="E76" s="1209" t="s">
        <v>4973</v>
      </c>
      <c r="F76" s="1211">
        <f>+'ESF det'!I85</f>
        <v>-167471499.56999999</v>
      </c>
      <c r="G76" s="1211">
        <f>+'ESF det'!J85</f>
        <v>-167471499.56999999</v>
      </c>
    </row>
    <row r="77" spans="2:7">
      <c r="B77" s="1215"/>
      <c r="C77" s="1219"/>
      <c r="D77" s="1219"/>
      <c r="E77" s="1209" t="s">
        <v>4974</v>
      </c>
      <c r="F77" s="1211">
        <f>+'ESF det'!I86</f>
        <v>188047726.08000001</v>
      </c>
      <c r="G77" s="1211">
        <f>+'ESF det'!J86</f>
        <v>188047726.08000001</v>
      </c>
    </row>
    <row r="78" spans="2:7" ht="15" customHeight="1">
      <c r="B78" s="1215"/>
      <c r="C78" s="1219"/>
      <c r="D78" s="1219"/>
      <c r="E78" s="1209"/>
      <c r="F78" s="1214"/>
      <c r="G78" s="1214"/>
    </row>
    <row r="79" spans="2:7" ht="25.9" customHeight="1">
      <c r="B79" s="1215"/>
      <c r="C79" s="1219"/>
      <c r="D79" s="1219"/>
      <c r="E79" s="1203" t="s">
        <v>4975</v>
      </c>
      <c r="F79" s="1208">
        <f>SUM(F63,F68,F75)</f>
        <v>1203058813.99</v>
      </c>
      <c r="G79" s="1208">
        <f>SUM(G63,G68,G75)</f>
        <v>1154448114.7</v>
      </c>
    </row>
    <row r="80" spans="2:7" ht="15" customHeight="1">
      <c r="B80" s="1215"/>
      <c r="C80" s="1219"/>
      <c r="D80" s="1219"/>
      <c r="E80" s="1209"/>
      <c r="F80" s="1208"/>
      <c r="G80" s="1208"/>
    </row>
    <row r="81" spans="2:7" ht="24">
      <c r="B81" s="1215"/>
      <c r="C81" s="1219"/>
      <c r="D81" s="1219"/>
      <c r="E81" s="1203" t="s">
        <v>4976</v>
      </c>
      <c r="F81" s="1208">
        <f>SUM(F59,F79)</f>
        <v>1205776920.9100001</v>
      </c>
      <c r="G81" s="1208">
        <f>SUM(G59,G79)</f>
        <v>1157748367.0800002</v>
      </c>
    </row>
    <row r="82" spans="2:7" ht="14.25" customHeight="1" thickBot="1">
      <c r="B82" s="1220"/>
      <c r="C82" s="1221"/>
      <c r="D82" s="1221"/>
      <c r="E82" s="1222"/>
      <c r="F82" s="1223"/>
      <c r="G82" s="1223"/>
    </row>
    <row r="83" spans="2:7" ht="15" customHeight="1"/>
    <row r="100" spans="19:19" ht="15">
      <c r="S100" s="858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K63"/>
  <sheetViews>
    <sheetView topLeftCell="C1" zoomScaleNormal="100" zoomScalePageLayoutView="80" workbookViewId="0">
      <selection activeCell="D19" sqref="D19"/>
    </sheetView>
  </sheetViews>
  <sheetFormatPr baseColWidth="10" defaultRowHeight="12"/>
  <cols>
    <col min="1" max="1" width="4.5703125" style="157" customWidth="1"/>
    <col min="2" max="2" width="24.7109375" style="157" customWidth="1"/>
    <col min="3" max="3" width="40" style="157" customWidth="1"/>
    <col min="4" max="5" width="18.7109375" style="157" customWidth="1"/>
    <col min="6" max="6" width="10.7109375" style="157" customWidth="1"/>
    <col min="7" max="7" width="24.7109375" style="157" customWidth="1"/>
    <col min="8" max="8" width="29.7109375" style="207" customWidth="1"/>
    <col min="9" max="10" width="18.7109375" style="157" customWidth="1"/>
    <col min="11" max="11" width="4.5703125" style="157" customWidth="1"/>
    <col min="12" max="16384" width="11.42578125" style="157"/>
  </cols>
  <sheetData>
    <row r="1" spans="1:11" ht="6" customHeight="1">
      <c r="A1" s="153"/>
      <c r="B1" s="153"/>
      <c r="C1" s="205"/>
      <c r="D1" s="153"/>
      <c r="E1" s="153"/>
      <c r="F1" s="205"/>
      <c r="G1" s="205"/>
      <c r="H1" s="206"/>
      <c r="I1" s="153"/>
      <c r="J1" s="153"/>
      <c r="K1" s="153"/>
    </row>
    <row r="2" spans="1:11" ht="6" customHeight="1">
      <c r="C2" s="156"/>
    </row>
    <row r="3" spans="1:11" ht="14.1" customHeight="1">
      <c r="C3" s="1604" t="s">
        <v>2987</v>
      </c>
      <c r="D3" s="1604"/>
      <c r="E3" s="1604"/>
      <c r="F3" s="1604"/>
      <c r="G3" s="1604"/>
      <c r="H3" s="1604"/>
      <c r="I3" s="1604"/>
      <c r="J3" s="208"/>
      <c r="K3" s="208"/>
    </row>
    <row r="4" spans="1:11" ht="14.1" customHeight="1">
      <c r="A4" s="209"/>
      <c r="B4" s="452"/>
      <c r="C4" s="1604" t="s">
        <v>722</v>
      </c>
      <c r="D4" s="1604"/>
      <c r="E4" s="1604"/>
      <c r="F4" s="1604"/>
      <c r="G4" s="1604"/>
      <c r="H4" s="1604"/>
      <c r="I4" s="1604"/>
      <c r="J4" s="209"/>
      <c r="K4" s="209"/>
    </row>
    <row r="5" spans="1:11" ht="14.1" customHeight="1">
      <c r="A5" s="210"/>
      <c r="B5" s="452"/>
      <c r="C5" s="1604" t="str">
        <f>+EA!C3</f>
        <v>Del 1 de enero al 31 de diciembre de 2021</v>
      </c>
      <c r="D5" s="1604"/>
      <c r="E5" s="1604"/>
      <c r="F5" s="1604"/>
      <c r="G5" s="1604"/>
      <c r="H5" s="1604"/>
      <c r="I5" s="1604"/>
      <c r="J5" s="209"/>
      <c r="K5" s="209"/>
    </row>
    <row r="6" spans="1:11" ht="14.1" customHeight="1">
      <c r="A6" s="210"/>
      <c r="C6" s="1604"/>
      <c r="D6" s="1604"/>
      <c r="E6" s="1604"/>
      <c r="F6" s="1604"/>
      <c r="G6" s="1604"/>
      <c r="H6" s="1604"/>
      <c r="I6" s="1604"/>
      <c r="J6" s="209"/>
      <c r="K6" s="209"/>
    </row>
    <row r="7" spans="1:11" ht="3" customHeight="1">
      <c r="A7" s="208"/>
      <c r="B7" s="208"/>
      <c r="C7" s="208"/>
      <c r="D7" s="208"/>
      <c r="E7" s="208"/>
      <c r="F7" s="208"/>
    </row>
    <row r="8" spans="1:11" ht="3" customHeight="1">
      <c r="A8" s="210"/>
      <c r="B8" s="211"/>
      <c r="C8" s="211"/>
      <c r="D8" s="211"/>
      <c r="E8" s="211"/>
      <c r="F8" s="212"/>
    </row>
    <row r="9" spans="1:11" ht="3" customHeight="1">
      <c r="A9" s="213"/>
      <c r="B9" s="213"/>
      <c r="C9" s="213"/>
      <c r="D9" s="214"/>
      <c r="E9" s="214"/>
      <c r="F9" s="215"/>
    </row>
    <row r="10" spans="1:11" ht="20.100000000000001" customHeight="1">
      <c r="A10" s="635"/>
      <c r="B10" s="1603" t="s">
        <v>230</v>
      </c>
      <c r="C10" s="1603"/>
      <c r="D10" s="660" t="s">
        <v>226</v>
      </c>
      <c r="E10" s="660" t="s">
        <v>227</v>
      </c>
      <c r="F10" s="630"/>
      <c r="G10" s="1603" t="s">
        <v>230</v>
      </c>
      <c r="H10" s="1603"/>
      <c r="I10" s="660" t="s">
        <v>226</v>
      </c>
      <c r="J10" s="660" t="s">
        <v>227</v>
      </c>
      <c r="K10" s="631"/>
    </row>
    <row r="11" spans="1:11" ht="3" customHeight="1">
      <c r="A11" s="216"/>
      <c r="B11" s="217"/>
      <c r="C11" s="217"/>
      <c r="D11" s="218"/>
      <c r="E11" s="218"/>
      <c r="K11" s="167"/>
    </row>
    <row r="12" spans="1:11" ht="3" customHeight="1">
      <c r="A12" s="168"/>
      <c r="B12" s="219"/>
      <c r="C12" s="219"/>
      <c r="D12" s="220"/>
      <c r="E12" s="220"/>
      <c r="F12" s="156"/>
      <c r="K12" s="167"/>
    </row>
    <row r="13" spans="1:11">
      <c r="A13" s="221"/>
      <c r="B13" s="1607" t="s">
        <v>668</v>
      </c>
      <c r="C13" s="1607"/>
      <c r="D13" s="222">
        <f>D15+D25</f>
        <v>22623752.75</v>
      </c>
      <c r="E13" s="222">
        <f>E15+E25</f>
        <v>70652306.580000028</v>
      </c>
      <c r="F13" s="156"/>
      <c r="G13" s="1607" t="s">
        <v>669</v>
      </c>
      <c r="H13" s="1607"/>
      <c r="I13" s="222">
        <f>I15+I26</f>
        <v>0</v>
      </c>
      <c r="J13" s="222">
        <f>J15+J26</f>
        <v>582145.46</v>
      </c>
      <c r="K13" s="167"/>
    </row>
    <row r="14" spans="1:11">
      <c r="A14" s="223"/>
      <c r="B14" s="172"/>
      <c r="C14" s="171"/>
      <c r="D14" s="224"/>
      <c r="E14" s="224"/>
      <c r="F14" s="156"/>
      <c r="G14" s="172"/>
      <c r="H14" s="172"/>
      <c r="I14" s="224"/>
      <c r="J14" s="224"/>
      <c r="K14" s="167"/>
    </row>
    <row r="15" spans="1:11">
      <c r="A15" s="223"/>
      <c r="B15" s="1607" t="s">
        <v>670</v>
      </c>
      <c r="C15" s="1607"/>
      <c r="D15" s="222">
        <f>SUM(D17:D23)</f>
        <v>17468756.049999997</v>
      </c>
      <c r="E15" s="222">
        <f>SUM(E17:E23)</f>
        <v>11855050.399999952</v>
      </c>
      <c r="F15" s="156"/>
      <c r="G15" s="1607" t="s">
        <v>671</v>
      </c>
      <c r="H15" s="1607"/>
      <c r="I15" s="222">
        <f>SUM(I17:I24)</f>
        <v>0</v>
      </c>
      <c r="J15" s="222">
        <f>SUM(J17:J24)</f>
        <v>582145.46</v>
      </c>
      <c r="K15" s="167"/>
    </row>
    <row r="16" spans="1:11">
      <c r="A16" s="223"/>
      <c r="B16" s="172"/>
      <c r="C16" s="171"/>
      <c r="D16" s="224"/>
      <c r="E16" s="224"/>
      <c r="F16" s="156"/>
      <c r="G16" s="172"/>
      <c r="H16" s="172"/>
      <c r="I16" s="224"/>
      <c r="J16" s="224"/>
      <c r="K16" s="167"/>
    </row>
    <row r="17" spans="1:11">
      <c r="A17" s="221"/>
      <c r="B17" s="1605" t="s">
        <v>672</v>
      </c>
      <c r="C17" s="1605"/>
      <c r="D17" s="225">
        <f>IF(ESF!D17&lt;ESF!E17,ESF!E17-ESF!D17,0)</f>
        <v>0</v>
      </c>
      <c r="E17" s="225">
        <f>IF(D17&gt;0,0,ESF!D17-ESF!E17)</f>
        <v>11829934.049999952</v>
      </c>
      <c r="F17" s="156"/>
      <c r="G17" s="1605" t="s">
        <v>673</v>
      </c>
      <c r="H17" s="1605"/>
      <c r="I17" s="225">
        <f>IF(ESF!I17&gt;ESF!J17,ESF!I17-ESF!J17,0)</f>
        <v>0</v>
      </c>
      <c r="J17" s="225">
        <f>IF(I17&gt;0,0,ESF!J17-ESF!I17)</f>
        <v>572742.27</v>
      </c>
      <c r="K17" s="167"/>
    </row>
    <row r="18" spans="1:11">
      <c r="A18" s="221"/>
      <c r="B18" s="1605" t="s">
        <v>674</v>
      </c>
      <c r="C18" s="1605"/>
      <c r="D18" s="225">
        <f>IF(ESF!D18&lt;ESF!E18,ESF!E18-ESF!D18,0)</f>
        <v>17468756.049999997</v>
      </c>
      <c r="E18" s="225">
        <f>IF(D18&gt;0,0,ESF!D18-ESF!E18)</f>
        <v>0</v>
      </c>
      <c r="F18" s="156"/>
      <c r="G18" s="1605" t="s">
        <v>675</v>
      </c>
      <c r="H18" s="1605"/>
      <c r="I18" s="225">
        <f>IF(ESF!I18&gt;ESF!J18,ESF!I18-ESF!J18,0)</f>
        <v>0</v>
      </c>
      <c r="J18" s="225">
        <f>IF(I18&gt;0,0,ESF!J18-ESF!I18)</f>
        <v>0</v>
      </c>
      <c r="K18" s="167"/>
    </row>
    <row r="19" spans="1:11">
      <c r="A19" s="221"/>
      <c r="B19" s="1605" t="s">
        <v>676</v>
      </c>
      <c r="C19" s="1605"/>
      <c r="D19" s="225">
        <f>IF(ESF!D19&lt;ESF!E19,ESF!E19-ESF!D19,0)</f>
        <v>0</v>
      </c>
      <c r="E19" s="225">
        <f>IF(D19&gt;0,0,ESF!D19-ESF!E19)</f>
        <v>19397.75</v>
      </c>
      <c r="F19" s="156"/>
      <c r="G19" s="1605"/>
      <c r="H19" s="1605"/>
      <c r="I19" s="225"/>
      <c r="J19" s="225"/>
      <c r="K19" s="167"/>
    </row>
    <row r="20" spans="1:11">
      <c r="A20" s="221"/>
      <c r="B20" s="1605"/>
      <c r="C20" s="1605"/>
      <c r="D20" s="225"/>
      <c r="E20" s="225"/>
      <c r="F20" s="156"/>
      <c r="G20" s="1605"/>
      <c r="H20" s="1605"/>
      <c r="I20" s="225"/>
      <c r="J20" s="225"/>
      <c r="K20" s="167"/>
    </row>
    <row r="21" spans="1:11">
      <c r="A21" s="221"/>
      <c r="B21" s="1605"/>
      <c r="C21" s="1605"/>
      <c r="D21" s="225"/>
      <c r="E21" s="225"/>
      <c r="F21" s="156"/>
      <c r="G21" s="1605" t="s">
        <v>681</v>
      </c>
      <c r="H21" s="1605"/>
      <c r="I21" s="225">
        <f>IF(ESF!I19&gt;ESF!J19,ESF!I19-ESF!J19,0)</f>
        <v>0</v>
      </c>
      <c r="J21" s="225">
        <f>IF(I21&gt;0,0,ESF!J19-ESF!I19)</f>
        <v>9403.19</v>
      </c>
      <c r="K21" s="167"/>
    </row>
    <row r="22" spans="1:11" ht="25.5" customHeight="1">
      <c r="A22" s="221"/>
      <c r="B22" s="1605"/>
      <c r="C22" s="1605"/>
      <c r="D22" s="225"/>
      <c r="E22" s="225"/>
      <c r="F22" s="156"/>
      <c r="G22" s="1608"/>
      <c r="H22" s="1608"/>
      <c r="I22" s="225"/>
      <c r="J22" s="225"/>
      <c r="K22" s="167"/>
    </row>
    <row r="23" spans="1:11">
      <c r="A23" s="221"/>
      <c r="B23" s="1605" t="s">
        <v>683</v>
      </c>
      <c r="C23" s="1605"/>
      <c r="D23" s="225">
        <f>IF(ESF!D20&lt;ESF!E20,ESF!E20-ESF!D20,0)</f>
        <v>0</v>
      </c>
      <c r="E23" s="225">
        <f>IF(D23&gt;0,0,ESF!D20-ESF!E20)</f>
        <v>5718.5999999999767</v>
      </c>
      <c r="F23" s="156"/>
      <c r="G23" s="1605"/>
      <c r="H23" s="1605"/>
      <c r="I23" s="225"/>
      <c r="J23" s="225"/>
      <c r="K23" s="167"/>
    </row>
    <row r="24" spans="1:11">
      <c r="A24" s="223"/>
      <c r="B24" s="172"/>
      <c r="C24" s="171"/>
      <c r="D24" s="224"/>
      <c r="E24" s="224"/>
      <c r="F24" s="156"/>
      <c r="G24" s="1605" t="s">
        <v>685</v>
      </c>
      <c r="H24" s="1605"/>
      <c r="I24" s="225">
        <f>IF(ESF!I24&gt;ESF!J24,ESF!I24-ESF!J24,0)</f>
        <v>0</v>
      </c>
      <c r="J24" s="225">
        <f>IF(I24&gt;0,0,ESF!J24-ESF!I24)</f>
        <v>0</v>
      </c>
      <c r="K24" s="167"/>
    </row>
    <row r="25" spans="1:11">
      <c r="A25" s="223"/>
      <c r="B25" s="1607" t="s">
        <v>688</v>
      </c>
      <c r="C25" s="1607"/>
      <c r="D25" s="222">
        <f>SUM(D27:D35)</f>
        <v>5154996.700000003</v>
      </c>
      <c r="E25" s="222">
        <f>SUM(E27:E35)</f>
        <v>58797256.180000082</v>
      </c>
      <c r="F25" s="156"/>
      <c r="G25" s="172"/>
      <c r="H25" s="172"/>
      <c r="I25" s="224"/>
      <c r="J25" s="224"/>
      <c r="K25" s="167"/>
    </row>
    <row r="26" spans="1:11">
      <c r="A26" s="223"/>
      <c r="B26" s="172"/>
      <c r="C26" s="171"/>
      <c r="D26" s="224"/>
      <c r="E26" s="224"/>
      <c r="F26" s="156"/>
      <c r="G26" s="1609" t="s">
        <v>689</v>
      </c>
      <c r="H26" s="1609"/>
      <c r="I26" s="222">
        <f>SUM(I28:I33)</f>
        <v>0</v>
      </c>
      <c r="J26" s="222">
        <f>SUM(J28:J33)</f>
        <v>0</v>
      </c>
      <c r="K26" s="167"/>
    </row>
    <row r="27" spans="1:11">
      <c r="A27" s="221"/>
      <c r="B27" s="1605" t="s">
        <v>690</v>
      </c>
      <c r="C27" s="1605"/>
      <c r="D27" s="225">
        <f>IF(ESF!D30&lt;ESF!E30,ESF!E30-ESF!D30,0)</f>
        <v>0</v>
      </c>
      <c r="E27" s="225">
        <f>IF(D27&gt;0,0,ESF!D30-ESF!E30)</f>
        <v>0</v>
      </c>
      <c r="F27" s="156"/>
      <c r="G27" s="172"/>
      <c r="H27" s="172"/>
      <c r="I27" s="224"/>
      <c r="J27" s="224"/>
      <c r="K27" s="167"/>
    </row>
    <row r="28" spans="1:11">
      <c r="A28" s="221"/>
      <c r="B28" s="1605" t="s">
        <v>692</v>
      </c>
      <c r="C28" s="1605"/>
      <c r="D28" s="225">
        <f>IF(ESF!D31&lt;ESF!E31,ESF!E31-ESF!D31,0)</f>
        <v>0</v>
      </c>
      <c r="E28" s="225">
        <f>IF(D28&gt;0,0,ESF!D31-ESF!E31)</f>
        <v>0</v>
      </c>
      <c r="F28" s="156"/>
      <c r="G28" s="1605"/>
      <c r="H28" s="1605"/>
      <c r="I28" s="225"/>
      <c r="J28" s="225"/>
      <c r="K28" s="167"/>
    </row>
    <row r="29" spans="1:11">
      <c r="A29" s="221"/>
      <c r="B29" s="1605" t="s">
        <v>694</v>
      </c>
      <c r="C29" s="1605"/>
      <c r="D29" s="225">
        <f>IF(ESF!D32&lt;ESF!E32,ESF!E32-ESF!D32,0)</f>
        <v>0</v>
      </c>
      <c r="E29" s="225">
        <f>IF(D29&gt;0,0,ESF!D32-ESF!E32)</f>
        <v>58324027.540000081</v>
      </c>
      <c r="F29" s="156"/>
      <c r="G29" s="1605" t="s">
        <v>693</v>
      </c>
      <c r="H29" s="1605"/>
      <c r="I29" s="225">
        <f>IF(ESF!I31&gt;ESF!J31,ESF!I31-ESF!J31,0)</f>
        <v>0</v>
      </c>
      <c r="J29" s="225">
        <f>IF(I29&gt;0,0,ESF!J31-ESF!I31)</f>
        <v>0</v>
      </c>
      <c r="K29" s="167"/>
    </row>
    <row r="30" spans="1:11">
      <c r="A30" s="221"/>
      <c r="B30" s="1605" t="s">
        <v>696</v>
      </c>
      <c r="C30" s="1605"/>
      <c r="D30" s="225">
        <f>IF(ESF!D33&lt;ESF!E33,ESF!E33-ESF!D33,0)</f>
        <v>0</v>
      </c>
      <c r="E30" s="225">
        <f>IF(D30&gt;0,0,ESF!D33-ESF!E33)</f>
        <v>86844.949999999255</v>
      </c>
      <c r="F30" s="156"/>
      <c r="G30" s="1605"/>
      <c r="H30" s="1605"/>
      <c r="I30" s="225"/>
      <c r="J30" s="225"/>
      <c r="K30" s="167"/>
    </row>
    <row r="31" spans="1:11">
      <c r="A31" s="221"/>
      <c r="B31" s="1605" t="s">
        <v>698</v>
      </c>
      <c r="C31" s="1605"/>
      <c r="D31" s="225">
        <f>IF(ESF!D34&lt;ESF!E34,ESF!E34-ESF!D34,0)</f>
        <v>0</v>
      </c>
      <c r="E31" s="225">
        <f>IF(D31&gt;0,0,ESF!D34-ESF!E34)</f>
        <v>386383.68999999948</v>
      </c>
      <c r="F31" s="156"/>
      <c r="G31" s="1605"/>
      <c r="H31" s="1605"/>
      <c r="I31" s="225"/>
      <c r="J31" s="225"/>
      <c r="K31" s="167"/>
    </row>
    <row r="32" spans="1:11" ht="26.1" customHeight="1">
      <c r="A32" s="221"/>
      <c r="B32" s="1608" t="s">
        <v>699</v>
      </c>
      <c r="C32" s="1608"/>
      <c r="D32" s="225">
        <f>IF(ESF!D35&lt;ESF!E35,ESF!E35-ESF!D35,0)</f>
        <v>5154996.700000003</v>
      </c>
      <c r="E32" s="225">
        <f>IF(D32&gt;0,0,ESF!D35-ESF!E35)</f>
        <v>0</v>
      </c>
      <c r="F32" s="156"/>
      <c r="G32" s="1608"/>
      <c r="H32" s="1608"/>
      <c r="I32" s="225"/>
      <c r="J32" s="225"/>
      <c r="K32" s="167"/>
    </row>
    <row r="33" spans="1:11">
      <c r="A33" s="221"/>
      <c r="B33" s="1605" t="s">
        <v>701</v>
      </c>
      <c r="C33" s="1605"/>
      <c r="D33" s="225">
        <f>IF(ESF!D36&lt;ESF!E36,ESF!E36-ESF!D36,0)</f>
        <v>0</v>
      </c>
      <c r="E33" s="225">
        <f>IF(D33&gt;0,0,ESF!D36-ESF!E36)</f>
        <v>0</v>
      </c>
      <c r="F33" s="156"/>
      <c r="G33" s="1605"/>
      <c r="H33" s="1605"/>
      <c r="I33" s="225"/>
      <c r="J33" s="225"/>
      <c r="K33" s="167"/>
    </row>
    <row r="34" spans="1:11" ht="25.5" customHeight="1">
      <c r="A34" s="221"/>
      <c r="B34" s="1608" t="s">
        <v>702</v>
      </c>
      <c r="C34" s="1608"/>
      <c r="D34" s="225">
        <f>IF(ESF!D37&lt;ESF!E37,ESF!E37-ESF!D37,0)</f>
        <v>0</v>
      </c>
      <c r="E34" s="225">
        <f>IF(D34&gt;0,0,ESF!D37-ESF!E37)</f>
        <v>0</v>
      </c>
      <c r="F34" s="156"/>
      <c r="G34" s="172"/>
      <c r="H34" s="172"/>
      <c r="I34" s="220"/>
      <c r="J34" s="220"/>
      <c r="K34" s="167"/>
    </row>
    <row r="35" spans="1:11">
      <c r="A35" s="221"/>
      <c r="B35" s="1605" t="s">
        <v>704</v>
      </c>
      <c r="C35" s="1605"/>
      <c r="D35" s="225">
        <f>IF(ESF!D38&lt;ESF!E38,ESF!E38-ESF!D38,0)</f>
        <v>0</v>
      </c>
      <c r="E35" s="225">
        <f>IF(D35&gt;0,0,ESF!D38-ESF!E38)</f>
        <v>0</v>
      </c>
      <c r="F35" s="156"/>
      <c r="G35" s="1607" t="s">
        <v>707</v>
      </c>
      <c r="H35" s="1607"/>
      <c r="I35" s="222">
        <f>I37+I43+I51</f>
        <v>82707402.839999914</v>
      </c>
      <c r="J35" s="222">
        <f>J37+J43+J51</f>
        <v>34096703.550000004</v>
      </c>
      <c r="K35" s="167"/>
    </row>
    <row r="36" spans="1:11">
      <c r="A36" s="223"/>
      <c r="B36" s="172"/>
      <c r="C36" s="171"/>
      <c r="D36" s="220"/>
      <c r="E36" s="220"/>
      <c r="F36" s="156"/>
      <c r="G36" s="172"/>
      <c r="H36" s="172"/>
      <c r="I36" s="224"/>
      <c r="J36" s="224"/>
      <c r="K36" s="167"/>
    </row>
    <row r="37" spans="1:11">
      <c r="A37" s="221"/>
      <c r="F37" s="156"/>
      <c r="G37" s="1607" t="s">
        <v>709</v>
      </c>
      <c r="H37" s="1607"/>
      <c r="I37" s="222">
        <f>SUM(I39:I41)</f>
        <v>0</v>
      </c>
      <c r="J37" s="222">
        <f>SUM(J39:J41)</f>
        <v>0</v>
      </c>
      <c r="K37" s="167"/>
    </row>
    <row r="38" spans="1:11">
      <c r="A38" s="223"/>
      <c r="F38" s="156"/>
      <c r="G38" s="172"/>
      <c r="H38" s="172"/>
      <c r="I38" s="224"/>
      <c r="J38" s="224"/>
      <c r="K38" s="167"/>
    </row>
    <row r="39" spans="1:11">
      <c r="A39" s="221"/>
      <c r="F39" s="156"/>
      <c r="G39" s="1605" t="s">
        <v>643</v>
      </c>
      <c r="H39" s="1605"/>
      <c r="I39" s="225">
        <f>IF(ESF!I29&gt;ESF!J29,ESF!I29-ESF!J29,0)</f>
        <v>0</v>
      </c>
      <c r="J39" s="225">
        <f>IF(I39&gt;0,0,ESF!J29-ESF!I29)</f>
        <v>0</v>
      </c>
      <c r="K39" s="167"/>
    </row>
    <row r="40" spans="1:11">
      <c r="A40" s="223"/>
      <c r="F40" s="156"/>
      <c r="G40" s="1605"/>
      <c r="H40" s="1605"/>
      <c r="I40" s="225"/>
      <c r="J40" s="225"/>
      <c r="K40" s="167"/>
    </row>
    <row r="41" spans="1:11">
      <c r="A41" s="221"/>
      <c r="F41" s="156"/>
      <c r="G41" s="1605" t="s">
        <v>711</v>
      </c>
      <c r="H41" s="1605"/>
      <c r="I41" s="225">
        <f>IF(ESF!I30&gt;ESF!J30,ESF!I30-ESF!J30,0)</f>
        <v>0</v>
      </c>
      <c r="J41" s="225">
        <f>IF(I41&gt;0,0,ESF!J30-ESF!I30)</f>
        <v>0</v>
      </c>
      <c r="K41" s="167"/>
    </row>
    <row r="42" spans="1:11">
      <c r="A42" s="221"/>
      <c r="F42" s="156"/>
      <c r="G42" s="172"/>
      <c r="H42" s="172"/>
      <c r="I42" s="224"/>
      <c r="J42" s="224"/>
      <c r="K42" s="167"/>
    </row>
    <row r="43" spans="1:11">
      <c r="A43" s="221"/>
      <c r="F43" s="156"/>
      <c r="G43" s="1607" t="s">
        <v>712</v>
      </c>
      <c r="H43" s="1607"/>
      <c r="I43" s="222">
        <f>SUM(I45:I49)</f>
        <v>82707402.839999914</v>
      </c>
      <c r="J43" s="222">
        <f>SUM(J45:J49)</f>
        <v>34096703.550000004</v>
      </c>
      <c r="K43" s="167"/>
    </row>
    <row r="44" spans="1:11">
      <c r="A44" s="221"/>
      <c r="F44" s="156"/>
      <c r="G44" s="172"/>
      <c r="H44" s="172"/>
      <c r="I44" s="224"/>
      <c r="J44" s="224"/>
      <c r="K44" s="167"/>
    </row>
    <row r="45" spans="1:11">
      <c r="A45" s="221"/>
      <c r="F45" s="156"/>
      <c r="G45" s="1605" t="s">
        <v>713</v>
      </c>
      <c r="H45" s="1605"/>
      <c r="I45" s="225">
        <f>IF(ESF!I34&gt;ESF!J34,ESF!I34-ESF!J34,0)</f>
        <v>0</v>
      </c>
      <c r="J45" s="225">
        <f>IF(I45&gt;0,0,ESF!J34-ESF!I34)</f>
        <v>34096703.550000004</v>
      </c>
      <c r="K45" s="167"/>
    </row>
    <row r="46" spans="1:11">
      <c r="A46" s="221"/>
      <c r="F46" s="156"/>
      <c r="G46" s="1605" t="s">
        <v>714</v>
      </c>
      <c r="H46" s="1605"/>
      <c r="I46" s="225">
        <f>IF(ESF!I35&gt;ESF!J35,ESF!I35-ESF!J35,0)</f>
        <v>82707402.839999914</v>
      </c>
      <c r="J46" s="225">
        <f>IF(I46&gt;0,0,ESF!J35-ESF!I35)</f>
        <v>0</v>
      </c>
      <c r="K46" s="167"/>
    </row>
    <row r="47" spans="1:11">
      <c r="A47" s="221"/>
      <c r="F47" s="156"/>
      <c r="G47" s="1605"/>
      <c r="H47" s="1605"/>
      <c r="I47" s="225"/>
      <c r="J47" s="225"/>
      <c r="K47" s="167"/>
    </row>
    <row r="48" spans="1:11">
      <c r="A48" s="221"/>
      <c r="F48" s="156"/>
      <c r="G48" s="1605"/>
      <c r="H48" s="1605"/>
      <c r="I48" s="225"/>
      <c r="J48" s="225"/>
      <c r="K48" s="167"/>
    </row>
    <row r="49" spans="1:11">
      <c r="A49" s="223"/>
      <c r="F49" s="156"/>
      <c r="G49" s="1605"/>
      <c r="H49" s="1605"/>
      <c r="I49" s="225"/>
      <c r="J49" s="225"/>
      <c r="K49" s="167"/>
    </row>
    <row r="50" spans="1:11">
      <c r="A50" s="221"/>
      <c r="F50" s="156"/>
      <c r="G50" s="172"/>
      <c r="H50" s="172"/>
      <c r="I50" s="224"/>
      <c r="J50" s="224"/>
      <c r="K50" s="167"/>
    </row>
    <row r="51" spans="1:11" ht="26.1" customHeight="1">
      <c r="A51" s="223"/>
      <c r="F51" s="156"/>
      <c r="G51" s="1607" t="s">
        <v>723</v>
      </c>
      <c r="H51" s="1607"/>
      <c r="I51" s="222">
        <f>SUM(I53:I54)</f>
        <v>0</v>
      </c>
      <c r="J51" s="222">
        <f>SUM(J53:J54)</f>
        <v>0</v>
      </c>
      <c r="K51" s="167"/>
    </row>
    <row r="52" spans="1:11">
      <c r="A52" s="221"/>
      <c r="F52" s="156"/>
      <c r="G52" s="172"/>
      <c r="H52" s="172"/>
      <c r="I52" s="224"/>
      <c r="J52" s="224"/>
      <c r="K52" s="167"/>
    </row>
    <row r="53" spans="1:11">
      <c r="A53" s="221"/>
      <c r="F53" s="156"/>
      <c r="G53" s="1605" t="s">
        <v>718</v>
      </c>
      <c r="H53" s="1605"/>
      <c r="I53" s="225">
        <f>IF(ESF!I39&gt;ESF!J39,ESF!I39-ESF!J39,0)</f>
        <v>0</v>
      </c>
      <c r="J53" s="225">
        <f>IF(I53&gt;0,0,ESF!J39-ESF!I39)</f>
        <v>0</v>
      </c>
      <c r="K53" s="167"/>
    </row>
    <row r="54" spans="1:11" ht="19.5" customHeight="1">
      <c r="A54" s="226"/>
      <c r="B54" s="196"/>
      <c r="C54" s="196"/>
      <c r="D54" s="196"/>
      <c r="E54" s="196"/>
      <c r="F54" s="190"/>
      <c r="G54" s="1666" t="s">
        <v>719</v>
      </c>
      <c r="H54" s="1666"/>
      <c r="I54" s="227">
        <f>IF(ESF!I40&gt;ESF!J40,ESF!I40-ESF!J40,0)</f>
        <v>0</v>
      </c>
      <c r="J54" s="227">
        <f>IF(I54&gt;0,0,ESF!J40-ESF!I40)</f>
        <v>0</v>
      </c>
      <c r="K54" s="192"/>
    </row>
    <row r="55" spans="1:11" ht="6" customHeight="1">
      <c r="A55" s="228"/>
      <c r="B55" s="196"/>
      <c r="C55" s="197"/>
      <c r="D55" s="198"/>
      <c r="E55" s="199"/>
      <c r="F55" s="199"/>
      <c r="G55" s="196"/>
      <c r="H55" s="229"/>
      <c r="I55" s="198"/>
      <c r="J55" s="199"/>
      <c r="K55" s="199"/>
    </row>
    <row r="56" spans="1:11" ht="6" customHeight="1">
      <c r="C56" s="170"/>
      <c r="D56" s="193"/>
      <c r="E56" s="194"/>
      <c r="F56" s="194"/>
      <c r="H56" s="230"/>
      <c r="I56" s="193"/>
      <c r="J56" s="194"/>
      <c r="K56" s="194"/>
    </row>
    <row r="57" spans="1:11" ht="6" customHeight="1">
      <c r="B57" s="170"/>
      <c r="C57" s="193"/>
      <c r="D57" s="194"/>
      <c r="E57" s="194"/>
      <c r="G57" s="195"/>
      <c r="H57" s="231"/>
      <c r="I57" s="194"/>
      <c r="J57" s="194"/>
    </row>
    <row r="58" spans="1:11" ht="15" customHeight="1">
      <c r="B58" s="1612" t="s">
        <v>664</v>
      </c>
      <c r="C58" s="1612"/>
      <c r="D58" s="1612"/>
      <c r="E58" s="1612"/>
      <c r="F58" s="1612"/>
      <c r="G58" s="1612"/>
      <c r="H58" s="1612"/>
      <c r="I58" s="1612"/>
      <c r="J58" s="1612"/>
    </row>
    <row r="59" spans="1:11" ht="9.75" customHeight="1">
      <c r="B59" s="170"/>
      <c r="C59" s="193"/>
      <c r="D59" s="194"/>
      <c r="E59" s="194"/>
      <c r="G59" s="195"/>
      <c r="H59" s="231"/>
      <c r="I59" s="194"/>
      <c r="J59" s="194"/>
    </row>
    <row r="60" spans="1:11" ht="50.1" customHeight="1">
      <c r="B60" s="170"/>
      <c r="C60" s="232"/>
      <c r="D60" s="233"/>
      <c r="E60" s="194"/>
      <c r="G60" s="234"/>
      <c r="H60" s="235"/>
      <c r="I60" s="194"/>
      <c r="J60" s="194"/>
    </row>
    <row r="61" spans="1:11" ht="14.1" customHeight="1">
      <c r="B61" s="201"/>
      <c r="C61" s="1615" t="s">
        <v>2867</v>
      </c>
      <c r="D61" s="1615"/>
      <c r="E61" s="194"/>
      <c r="F61" s="194"/>
      <c r="G61" s="1615" t="s">
        <v>665</v>
      </c>
      <c r="H61" s="1615"/>
      <c r="I61" s="171"/>
      <c r="J61" s="194"/>
    </row>
    <row r="62" spans="1:11" ht="14.1" customHeight="1">
      <c r="B62" s="203"/>
      <c r="C62" s="1610" t="s">
        <v>1765</v>
      </c>
      <c r="D62" s="1610"/>
      <c r="E62" s="204"/>
      <c r="F62" s="204"/>
      <c r="G62" s="1610" t="s">
        <v>666</v>
      </c>
      <c r="H62" s="1610"/>
      <c r="I62" s="171"/>
      <c r="J62" s="194"/>
    </row>
    <row r="63" spans="1:11">
      <c r="A63" s="188"/>
      <c r="F63" s="156"/>
    </row>
  </sheetData>
  <sheetProtection formatCells="0" selectLockedCells="1"/>
  <mergeCells count="61">
    <mergeCell ref="G54:H54"/>
    <mergeCell ref="B58:J58"/>
    <mergeCell ref="C61:D61"/>
    <mergeCell ref="G61:H61"/>
    <mergeCell ref="C62:D62"/>
    <mergeCell ref="G62:H62"/>
    <mergeCell ref="G53:H53"/>
    <mergeCell ref="G37:H37"/>
    <mergeCell ref="G39:H39"/>
    <mergeCell ref="G40:H40"/>
    <mergeCell ref="G41:H41"/>
    <mergeCell ref="G43:H43"/>
    <mergeCell ref="G45:H45"/>
    <mergeCell ref="G46:H46"/>
    <mergeCell ref="G47:H47"/>
    <mergeCell ref="G48:H48"/>
    <mergeCell ref="G49:H49"/>
    <mergeCell ref="G51:H51"/>
    <mergeCell ref="B35:C35"/>
    <mergeCell ref="G35:H35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24:H24"/>
    <mergeCell ref="B25:C25"/>
    <mergeCell ref="G26:H26"/>
    <mergeCell ref="B27:C27"/>
    <mergeCell ref="B28:C28"/>
    <mergeCell ref="G28:H28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B10:C10"/>
    <mergeCell ref="G10:H10"/>
    <mergeCell ref="C3:I3"/>
    <mergeCell ref="C4:I4"/>
    <mergeCell ref="C5:I5"/>
    <mergeCell ref="C6:I6"/>
  </mergeCells>
  <printOptions horizontalCentered="1" verticalCentered="1"/>
  <pageMargins left="0" right="0" top="0.94488188976377963" bottom="0.59055118110236227" header="0" footer="0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99D9-3069-441B-B61A-14E09C884336}">
  <sheetPr>
    <pageSetUpPr fitToPage="1"/>
  </sheetPr>
  <dimension ref="B1:I178"/>
  <sheetViews>
    <sheetView workbookViewId="0">
      <selection activeCell="C53" sqref="C53:D57"/>
    </sheetView>
  </sheetViews>
  <sheetFormatPr baseColWidth="10" defaultColWidth="11.42578125" defaultRowHeight="12"/>
  <cols>
    <col min="1" max="1" width="4.5703125" style="886" customWidth="1"/>
    <col min="2" max="2" width="71.28515625" style="884" customWidth="1"/>
    <col min="3" max="4" width="15.7109375" style="885" customWidth="1"/>
    <col min="5" max="5" width="4.7109375" style="886" customWidth="1"/>
    <col min="6" max="6" width="11.42578125" style="886"/>
    <col min="7" max="7" width="11.85546875" style="886" customWidth="1"/>
    <col min="8" max="8" width="12.140625" style="886" customWidth="1"/>
    <col min="9" max="9" width="15.5703125" style="886" bestFit="1" customWidth="1"/>
    <col min="10" max="16384" width="11.42578125" style="886"/>
  </cols>
  <sheetData>
    <row r="1" spans="2:9" ht="12.75" customHeight="1" thickBot="1">
      <c r="I1" s="887"/>
    </row>
    <row r="2" spans="2:9" ht="12.75" customHeight="1">
      <c r="B2" s="1667" t="str">
        <f>+'2 esf sif'!$B$2:$H$2</f>
        <v>PROMOTORA PARA EL DESARROLLO ECONÓMICO DE CHIHUAHUA</v>
      </c>
      <c r="C2" s="1668"/>
      <c r="D2" s="1669"/>
      <c r="E2" s="888"/>
      <c r="F2" s="888"/>
      <c r="G2" s="888"/>
      <c r="H2" s="888"/>
      <c r="I2" s="888"/>
    </row>
    <row r="3" spans="2:9" ht="12.75" customHeight="1">
      <c r="B3" s="1670" t="s">
        <v>722</v>
      </c>
      <c r="C3" s="1671"/>
      <c r="D3" s="1672"/>
      <c r="E3" s="889"/>
      <c r="F3" s="889"/>
      <c r="G3" s="889"/>
      <c r="H3" s="889"/>
      <c r="I3" s="888"/>
    </row>
    <row r="4" spans="2:9" ht="12.75" customHeight="1" thickBot="1">
      <c r="B4" s="1673"/>
      <c r="C4" s="1674"/>
      <c r="D4" s="1675"/>
      <c r="E4" s="888"/>
      <c r="F4" s="888"/>
      <c r="G4" s="888"/>
      <c r="H4" s="888"/>
      <c r="I4" s="888"/>
    </row>
    <row r="5" spans="2:9" s="894" customFormat="1" ht="14.25" customHeight="1">
      <c r="B5" s="890"/>
      <c r="C5" s="891" t="s">
        <v>226</v>
      </c>
      <c r="D5" s="892" t="s">
        <v>227</v>
      </c>
      <c r="E5" s="893"/>
      <c r="F5" s="893"/>
      <c r="G5" s="893"/>
      <c r="H5" s="893"/>
      <c r="I5" s="893"/>
    </row>
    <row r="6" spans="2:9" s="894" customFormat="1" ht="14.25" customHeight="1">
      <c r="B6" s="890" t="s">
        <v>1018</v>
      </c>
      <c r="C6" s="895">
        <f>SUM(C7,C16)</f>
        <v>22623752.75</v>
      </c>
      <c r="D6" s="896">
        <f>SUM(D7,D16)</f>
        <v>70652306.580000028</v>
      </c>
      <c r="E6" s="893"/>
      <c r="F6" s="893"/>
      <c r="G6" s="893"/>
      <c r="H6" s="893"/>
      <c r="I6" s="893"/>
    </row>
    <row r="7" spans="2:9" s="894" customFormat="1">
      <c r="B7" s="897" t="s">
        <v>670</v>
      </c>
      <c r="C7" s="895">
        <f>SUM(C8:C14)</f>
        <v>17468756.049999997</v>
      </c>
      <c r="D7" s="896">
        <f>SUM(D8:D14)</f>
        <v>11855050.399999952</v>
      </c>
      <c r="E7" s="898"/>
      <c r="F7" s="898"/>
      <c r="G7" s="898"/>
      <c r="H7" s="898"/>
      <c r="I7" s="893"/>
    </row>
    <row r="8" spans="2:9" s="903" customFormat="1">
      <c r="B8" s="899" t="s">
        <v>672</v>
      </c>
      <c r="C8" s="900">
        <f>+ECSF!D17</f>
        <v>0</v>
      </c>
      <c r="D8" s="901">
        <f>+ECSF!E17</f>
        <v>11829934.049999952</v>
      </c>
      <c r="E8" s="902"/>
      <c r="F8" s="902"/>
      <c r="G8" s="902"/>
      <c r="H8" s="902"/>
      <c r="I8" s="893"/>
    </row>
    <row r="9" spans="2:9" s="903" customFormat="1">
      <c r="B9" s="899" t="s">
        <v>674</v>
      </c>
      <c r="C9" s="900">
        <f>+ECSF!D18</f>
        <v>17468756.049999997</v>
      </c>
      <c r="D9" s="901">
        <f>+ECSF!E18</f>
        <v>0</v>
      </c>
      <c r="E9" s="902"/>
      <c r="F9" s="902"/>
      <c r="G9" s="902"/>
      <c r="H9" s="902"/>
      <c r="I9" s="893"/>
    </row>
    <row r="10" spans="2:9" s="904" customFormat="1">
      <c r="B10" s="899" t="s">
        <v>676</v>
      </c>
      <c r="C10" s="900">
        <f>+ECSF!D19</f>
        <v>0</v>
      </c>
      <c r="D10" s="901">
        <f>+ECSF!E19</f>
        <v>19397.75</v>
      </c>
    </row>
    <row r="11" spans="2:9" s="904" customFormat="1">
      <c r="B11" s="899" t="s">
        <v>4734</v>
      </c>
      <c r="C11" s="900">
        <v>0</v>
      </c>
      <c r="D11" s="901">
        <v>0</v>
      </c>
    </row>
    <row r="12" spans="2:9" s="904" customFormat="1">
      <c r="B12" s="905" t="s">
        <v>680</v>
      </c>
      <c r="C12" s="900">
        <v>0</v>
      </c>
      <c r="D12" s="901">
        <v>0</v>
      </c>
    </row>
    <row r="13" spans="2:9" s="904" customFormat="1">
      <c r="B13" s="905" t="s">
        <v>682</v>
      </c>
      <c r="C13" s="900">
        <v>0</v>
      </c>
      <c r="D13" s="901">
        <v>0</v>
      </c>
    </row>
    <row r="14" spans="2:9" s="904" customFormat="1">
      <c r="B14" s="905" t="s">
        <v>4736</v>
      </c>
      <c r="C14" s="900">
        <f>+ECSF!D23</f>
        <v>0</v>
      </c>
      <c r="D14" s="901">
        <f>+ECSF!E23</f>
        <v>5718.5999999999767</v>
      </c>
    </row>
    <row r="15" spans="2:9" s="904" customFormat="1">
      <c r="B15" s="906"/>
      <c r="C15" s="885"/>
      <c r="D15" s="907"/>
    </row>
    <row r="16" spans="2:9" s="888" customFormat="1">
      <c r="B16" s="908" t="s">
        <v>688</v>
      </c>
      <c r="C16" s="909">
        <f>SUM(C17:C25)</f>
        <v>5154996.700000003</v>
      </c>
      <c r="D16" s="910">
        <f>SUM(D17:D25)</f>
        <v>58797256.180000082</v>
      </c>
    </row>
    <row r="17" spans="2:4" s="904" customFormat="1">
      <c r="B17" s="905" t="s">
        <v>690</v>
      </c>
      <c r="C17" s="911">
        <f>+ECSF!D27</f>
        <v>0</v>
      </c>
      <c r="D17" s="912">
        <f>+ECSF!E27</f>
        <v>0</v>
      </c>
    </row>
    <row r="18" spans="2:4" s="904" customFormat="1">
      <c r="B18" s="905" t="s">
        <v>692</v>
      </c>
      <c r="C18" s="911">
        <f>+ECSF!D28</f>
        <v>0</v>
      </c>
      <c r="D18" s="912">
        <f>+ECSF!E28</f>
        <v>0</v>
      </c>
    </row>
    <row r="19" spans="2:4" s="904" customFormat="1">
      <c r="B19" s="905" t="s">
        <v>694</v>
      </c>
      <c r="C19" s="911">
        <f>+ECSF!D29</f>
        <v>0</v>
      </c>
      <c r="D19" s="912">
        <f>+ECSF!E29</f>
        <v>58324027.540000081</v>
      </c>
    </row>
    <row r="20" spans="2:4" s="904" customFormat="1">
      <c r="B20" s="905" t="s">
        <v>696</v>
      </c>
      <c r="C20" s="911">
        <f>+ECSF!D30</f>
        <v>0</v>
      </c>
      <c r="D20" s="912">
        <f>+ECSF!E30</f>
        <v>86844.949999999255</v>
      </c>
    </row>
    <row r="21" spans="2:4" s="904" customFormat="1">
      <c r="B21" s="905" t="s">
        <v>698</v>
      </c>
      <c r="C21" s="911">
        <f>+ECSF!D31</f>
        <v>0</v>
      </c>
      <c r="D21" s="912">
        <f>+ECSF!E31</f>
        <v>386383.68999999948</v>
      </c>
    </row>
    <row r="22" spans="2:4" s="904" customFormat="1">
      <c r="B22" s="905" t="s">
        <v>699</v>
      </c>
      <c r="C22" s="911">
        <f>+ECSF!D32</f>
        <v>5154996.700000003</v>
      </c>
      <c r="D22" s="912">
        <f>+ECSF!E32</f>
        <v>0</v>
      </c>
    </row>
    <row r="23" spans="2:4" s="904" customFormat="1">
      <c r="B23" s="905" t="s">
        <v>701</v>
      </c>
      <c r="C23" s="911">
        <f>+ECSF!D33</f>
        <v>0</v>
      </c>
      <c r="D23" s="912">
        <f>+ECSF!E33</f>
        <v>0</v>
      </c>
    </row>
    <row r="24" spans="2:4" s="904" customFormat="1">
      <c r="B24" s="905" t="s">
        <v>4752</v>
      </c>
      <c r="C24" s="911">
        <f>+ECSF!D34</f>
        <v>0</v>
      </c>
      <c r="D24" s="912">
        <f>+ECSF!E34</f>
        <v>0</v>
      </c>
    </row>
    <row r="25" spans="2:4" s="904" customFormat="1">
      <c r="B25" s="905" t="s">
        <v>704</v>
      </c>
      <c r="C25" s="911">
        <f>+ECSF!D35</f>
        <v>0</v>
      </c>
      <c r="D25" s="912">
        <f>+ECSF!E35</f>
        <v>0</v>
      </c>
    </row>
    <row r="26" spans="2:4" s="904" customFormat="1">
      <c r="B26" s="913"/>
      <c r="C26" s="885"/>
      <c r="D26" s="907"/>
    </row>
    <row r="27" spans="2:4" s="888" customFormat="1">
      <c r="B27" s="890" t="s">
        <v>669</v>
      </c>
      <c r="C27" s="909">
        <f>SUM(C28,C38)</f>
        <v>0</v>
      </c>
      <c r="D27" s="910">
        <f>SUM(D28,D38)</f>
        <v>582145.46</v>
      </c>
    </row>
    <row r="28" spans="2:4" s="888" customFormat="1">
      <c r="B28" s="897" t="s">
        <v>671</v>
      </c>
      <c r="C28" s="909">
        <f>SUM(C29:C36)</f>
        <v>0</v>
      </c>
      <c r="D28" s="910">
        <f>SUM(D29:D36)</f>
        <v>582145.46</v>
      </c>
    </row>
    <row r="29" spans="2:4" s="904" customFormat="1">
      <c r="B29" s="905" t="s">
        <v>673</v>
      </c>
      <c r="C29" s="911">
        <f>+ECSF!I17</f>
        <v>0</v>
      </c>
      <c r="D29" s="912">
        <f>+ECSF!J17</f>
        <v>572742.27</v>
      </c>
    </row>
    <row r="30" spans="2:4" s="904" customFormat="1">
      <c r="B30" s="905" t="s">
        <v>4753</v>
      </c>
      <c r="C30" s="911">
        <f>+ECSF!I18</f>
        <v>0</v>
      </c>
      <c r="D30" s="912">
        <f>+ECSF!J18</f>
        <v>0</v>
      </c>
    </row>
    <row r="31" spans="2:4" s="904" customFormat="1">
      <c r="B31" s="905" t="s">
        <v>677</v>
      </c>
      <c r="C31" s="911">
        <v>0</v>
      </c>
      <c r="D31" s="912">
        <v>0</v>
      </c>
    </row>
    <row r="32" spans="2:4" s="904" customFormat="1">
      <c r="B32" s="905" t="s">
        <v>679</v>
      </c>
      <c r="C32" s="911">
        <v>0</v>
      </c>
      <c r="D32" s="912">
        <v>0</v>
      </c>
    </row>
    <row r="33" spans="2:4" s="904" customFormat="1">
      <c r="B33" s="905" t="s">
        <v>681</v>
      </c>
      <c r="C33" s="911">
        <f>+ECSF!I21</f>
        <v>0</v>
      </c>
      <c r="D33" s="912">
        <f>+ECSF!J21</f>
        <v>9403.19</v>
      </c>
    </row>
    <row r="34" spans="2:4" s="904" customFormat="1">
      <c r="B34" s="905" t="s">
        <v>4735</v>
      </c>
      <c r="C34" s="911">
        <v>0</v>
      </c>
      <c r="D34" s="912">
        <v>0</v>
      </c>
    </row>
    <row r="35" spans="2:4" s="904" customFormat="1">
      <c r="B35" s="905" t="s">
        <v>684</v>
      </c>
      <c r="C35" s="911">
        <v>0</v>
      </c>
      <c r="D35" s="912">
        <v>0</v>
      </c>
    </row>
    <row r="36" spans="2:4" s="904" customFormat="1">
      <c r="B36" s="905" t="s">
        <v>685</v>
      </c>
      <c r="C36" s="911">
        <v>0</v>
      </c>
      <c r="D36" s="912">
        <v>0</v>
      </c>
    </row>
    <row r="37" spans="2:4" s="904" customFormat="1">
      <c r="B37" s="914"/>
      <c r="C37" s="885"/>
      <c r="D37" s="907"/>
    </row>
    <row r="38" spans="2:4" s="888" customFormat="1">
      <c r="B38" s="897" t="s">
        <v>689</v>
      </c>
      <c r="C38" s="909">
        <f>SUM(C39:C44)</f>
        <v>0</v>
      </c>
      <c r="D38" s="910">
        <f>SUM(D39:D44)</f>
        <v>0</v>
      </c>
    </row>
    <row r="39" spans="2:4" s="904" customFormat="1">
      <c r="B39" s="905" t="s">
        <v>691</v>
      </c>
      <c r="C39" s="911">
        <v>0</v>
      </c>
      <c r="D39" s="912">
        <v>0</v>
      </c>
    </row>
    <row r="40" spans="2:4" s="904" customFormat="1">
      <c r="B40" s="905" t="s">
        <v>693</v>
      </c>
      <c r="C40" s="911">
        <f>+ECSF!I29</f>
        <v>0</v>
      </c>
      <c r="D40" s="912">
        <f>+ECSF!J29</f>
        <v>0</v>
      </c>
    </row>
    <row r="41" spans="2:4" s="904" customFormat="1">
      <c r="B41" s="905" t="s">
        <v>695</v>
      </c>
      <c r="C41" s="911">
        <v>0</v>
      </c>
      <c r="D41" s="912">
        <v>0</v>
      </c>
    </row>
    <row r="42" spans="2:4" s="904" customFormat="1">
      <c r="B42" s="905" t="s">
        <v>697</v>
      </c>
      <c r="C42" s="911">
        <v>0</v>
      </c>
      <c r="D42" s="912">
        <v>0</v>
      </c>
    </row>
    <row r="43" spans="2:4" s="904" customFormat="1">
      <c r="B43" s="905" t="s">
        <v>4754</v>
      </c>
      <c r="C43" s="911">
        <v>0</v>
      </c>
      <c r="D43" s="912">
        <v>0</v>
      </c>
    </row>
    <row r="44" spans="2:4" s="904" customFormat="1">
      <c r="B44" s="905" t="s">
        <v>700</v>
      </c>
      <c r="C44" s="911">
        <v>0</v>
      </c>
      <c r="D44" s="912">
        <v>0</v>
      </c>
    </row>
    <row r="45" spans="2:4" s="904" customFormat="1">
      <c r="B45" s="914"/>
      <c r="C45" s="885"/>
      <c r="D45" s="907"/>
    </row>
    <row r="46" spans="2:4" s="888" customFormat="1">
      <c r="B46" s="890" t="s">
        <v>103</v>
      </c>
      <c r="C46" s="909">
        <f>SUM(C47,C52,C59)</f>
        <v>82707402.839999914</v>
      </c>
      <c r="D46" s="910">
        <f>SUM(D47,D52,D59)</f>
        <v>34096703.550000004</v>
      </c>
    </row>
    <row r="47" spans="2:4" s="888" customFormat="1">
      <c r="B47" s="897" t="s">
        <v>4747</v>
      </c>
      <c r="C47" s="909">
        <f>SUM(C48:C50)</f>
        <v>0</v>
      </c>
      <c r="D47" s="910">
        <f>SUM(D48:D50)</f>
        <v>0</v>
      </c>
    </row>
    <row r="48" spans="2:4" s="904" customFormat="1">
      <c r="B48" s="905" t="s">
        <v>643</v>
      </c>
      <c r="C48" s="911">
        <f>+ECSF!I39</f>
        <v>0</v>
      </c>
      <c r="D48" s="912">
        <f>+ECSF!J39</f>
        <v>0</v>
      </c>
    </row>
    <row r="49" spans="2:4" s="904" customFormat="1">
      <c r="B49" s="905" t="s">
        <v>710</v>
      </c>
      <c r="C49" s="911">
        <v>0</v>
      </c>
      <c r="D49" s="912">
        <v>0</v>
      </c>
    </row>
    <row r="50" spans="2:4" s="904" customFormat="1">
      <c r="B50" s="905" t="s">
        <v>711</v>
      </c>
      <c r="C50" s="911">
        <f>+ECSF!I41</f>
        <v>0</v>
      </c>
      <c r="D50" s="912">
        <f>+ECSF!J41</f>
        <v>0</v>
      </c>
    </row>
    <row r="51" spans="2:4" s="904" customFormat="1">
      <c r="B51" s="914"/>
      <c r="C51" s="885"/>
      <c r="D51" s="907"/>
    </row>
    <row r="52" spans="2:4" s="888" customFormat="1">
      <c r="B52" s="897" t="s">
        <v>4755</v>
      </c>
      <c r="C52" s="909">
        <f>SUM(C53:C57)</f>
        <v>82707402.839999914</v>
      </c>
      <c r="D52" s="910">
        <f>SUM(D53:D57)</f>
        <v>34096703.550000004</v>
      </c>
    </row>
    <row r="53" spans="2:4" s="904" customFormat="1">
      <c r="B53" s="905" t="s">
        <v>4756</v>
      </c>
      <c r="C53" s="911">
        <f>+ECSF!I45</f>
        <v>0</v>
      </c>
      <c r="D53" s="912">
        <f>+ECSF!J45</f>
        <v>34096703.550000004</v>
      </c>
    </row>
    <row r="54" spans="2:4" s="904" customFormat="1">
      <c r="B54" s="905" t="s">
        <v>4757</v>
      </c>
      <c r="C54" s="911">
        <f>+ECSF!I46</f>
        <v>82707402.839999914</v>
      </c>
      <c r="D54" s="912">
        <f>+ECSF!J46</f>
        <v>0</v>
      </c>
    </row>
    <row r="55" spans="2:4" s="904" customFormat="1">
      <c r="B55" s="905" t="s">
        <v>715</v>
      </c>
      <c r="C55" s="911">
        <v>0</v>
      </c>
      <c r="D55" s="912">
        <v>0</v>
      </c>
    </row>
    <row r="56" spans="2:4" s="904" customFormat="1">
      <c r="B56" s="905" t="s">
        <v>716</v>
      </c>
      <c r="C56" s="911">
        <v>0</v>
      </c>
      <c r="D56" s="912">
        <v>0</v>
      </c>
    </row>
    <row r="57" spans="2:4" s="904" customFormat="1">
      <c r="B57" s="905" t="s">
        <v>231</v>
      </c>
      <c r="C57" s="911">
        <v>0</v>
      </c>
      <c r="D57" s="912">
        <v>0</v>
      </c>
    </row>
    <row r="58" spans="2:4" s="904" customFormat="1">
      <c r="B58" s="914"/>
      <c r="C58" s="885"/>
      <c r="D58" s="907"/>
    </row>
    <row r="59" spans="2:4" s="888" customFormat="1">
      <c r="B59" s="897" t="s">
        <v>4750</v>
      </c>
      <c r="C59" s="909">
        <f>SUM(C60:C61)</f>
        <v>0</v>
      </c>
      <c r="D59" s="910">
        <f>SUM(D60:D61)</f>
        <v>0</v>
      </c>
    </row>
    <row r="60" spans="2:4" s="904" customFormat="1">
      <c r="B60" s="905" t="s">
        <v>718</v>
      </c>
      <c r="C60" s="911">
        <f>+ECSF!I53</f>
        <v>0</v>
      </c>
      <c r="D60" s="912">
        <f>+ECSF!J53</f>
        <v>0</v>
      </c>
    </row>
    <row r="61" spans="2:4" s="904" customFormat="1" ht="12.75" thickBot="1">
      <c r="B61" s="915" t="s">
        <v>719</v>
      </c>
      <c r="C61" s="916">
        <f>+ECSF!I54</f>
        <v>0</v>
      </c>
      <c r="D61" s="917">
        <f>+ECSF!J54</f>
        <v>0</v>
      </c>
    </row>
    <row r="62" spans="2:4" ht="12.75" customHeight="1">
      <c r="B62" s="918"/>
    </row>
    <row r="63" spans="2:4" ht="12.75" customHeight="1">
      <c r="B63" s="919"/>
    </row>
    <row r="64" spans="2:4" ht="12.75" customHeight="1">
      <c r="B64" s="919"/>
    </row>
    <row r="65" spans="2:2" ht="12.75" customHeight="1">
      <c r="B65" s="919"/>
    </row>
    <row r="66" spans="2:2" ht="12.75" customHeight="1">
      <c r="B66" s="919"/>
    </row>
    <row r="67" spans="2:2" ht="12.75" customHeight="1">
      <c r="B67" s="919"/>
    </row>
    <row r="68" spans="2:2" ht="12.75" customHeight="1">
      <c r="B68" s="919"/>
    </row>
    <row r="69" spans="2:2" ht="12.75" customHeight="1">
      <c r="B69" s="919"/>
    </row>
    <row r="70" spans="2:2" ht="12.75" customHeight="1">
      <c r="B70" s="919"/>
    </row>
    <row r="71" spans="2:2" ht="12.75" customHeight="1">
      <c r="B71" s="919"/>
    </row>
    <row r="72" spans="2:2" ht="12.75" customHeight="1">
      <c r="B72" s="919"/>
    </row>
    <row r="73" spans="2:2" ht="12.75" customHeight="1">
      <c r="B73" s="919"/>
    </row>
    <row r="74" spans="2:2" ht="12.75" customHeight="1">
      <c r="B74" s="919"/>
    </row>
    <row r="75" spans="2:2" ht="12.75" customHeight="1">
      <c r="B75" s="919"/>
    </row>
    <row r="76" spans="2:2" ht="12.75" customHeight="1">
      <c r="B76" s="919"/>
    </row>
    <row r="77" spans="2:2" ht="12.75" customHeight="1">
      <c r="B77" s="919"/>
    </row>
    <row r="78" spans="2:2" ht="12.75" customHeight="1">
      <c r="B78" s="919"/>
    </row>
    <row r="79" spans="2:2" ht="12.75" customHeight="1">
      <c r="B79" s="919"/>
    </row>
    <row r="80" spans="2:2" ht="12.75" customHeight="1">
      <c r="B80" s="919"/>
    </row>
    <row r="81" spans="2:2" ht="12.75" customHeight="1">
      <c r="B81" s="919"/>
    </row>
    <row r="82" spans="2:2" ht="12.75" customHeight="1">
      <c r="B82" s="919"/>
    </row>
    <row r="83" spans="2:2" ht="12.75" customHeight="1">
      <c r="B83" s="919"/>
    </row>
    <row r="84" spans="2:2" ht="12.75" customHeight="1">
      <c r="B84" s="919"/>
    </row>
    <row r="85" spans="2:2" ht="12.75" customHeight="1">
      <c r="B85" s="919"/>
    </row>
    <row r="86" spans="2:2" ht="12.75" customHeight="1">
      <c r="B86" s="919"/>
    </row>
    <row r="87" spans="2:2" ht="12.75" customHeight="1">
      <c r="B87" s="919"/>
    </row>
    <row r="88" spans="2:2" ht="12.75" customHeight="1">
      <c r="B88" s="920"/>
    </row>
    <row r="89" spans="2:2" ht="12.75" customHeight="1">
      <c r="B89" s="919"/>
    </row>
    <row r="90" spans="2:2" ht="12.75" customHeight="1">
      <c r="B90" s="919"/>
    </row>
    <row r="91" spans="2:2" ht="12.75" customHeight="1">
      <c r="B91" s="919"/>
    </row>
    <row r="92" spans="2:2" ht="26.25" customHeight="1">
      <c r="B92" s="919"/>
    </row>
    <row r="93" spans="2:2" ht="24" customHeight="1">
      <c r="B93" s="919"/>
    </row>
    <row r="94" spans="2:2" ht="12.75" customHeight="1">
      <c r="B94" s="919"/>
    </row>
    <row r="95" spans="2:2" ht="12.75" customHeight="1">
      <c r="B95" s="919"/>
    </row>
    <row r="96" spans="2:2" ht="12.75" customHeight="1">
      <c r="B96" s="919"/>
    </row>
    <row r="97" spans="2:2" ht="12.75" customHeight="1">
      <c r="B97" s="919"/>
    </row>
    <row r="98" spans="2:2" ht="12.75" customHeight="1">
      <c r="B98" s="919"/>
    </row>
    <row r="99" spans="2:2" ht="12.75" customHeight="1">
      <c r="B99" s="919"/>
    </row>
    <row r="100" spans="2:2" ht="12.75" customHeight="1">
      <c r="B100" s="919"/>
    </row>
    <row r="101" spans="2:2" ht="12.75" customHeight="1">
      <c r="B101" s="919"/>
    </row>
    <row r="102" spans="2:2" ht="12.75" customHeight="1">
      <c r="B102" s="919"/>
    </row>
    <row r="103" spans="2:2" ht="12.75" customHeight="1">
      <c r="B103" s="919"/>
    </row>
    <row r="104" spans="2:2" ht="12.75" customHeight="1">
      <c r="B104" s="919"/>
    </row>
    <row r="105" spans="2:2" ht="12.75" customHeight="1">
      <c r="B105" s="919"/>
    </row>
    <row r="106" spans="2:2" ht="12.75" customHeight="1">
      <c r="B106" s="919"/>
    </row>
    <row r="107" spans="2:2" ht="12.75" customHeight="1">
      <c r="B107" s="919"/>
    </row>
    <row r="108" spans="2:2" ht="12.75" customHeight="1">
      <c r="B108" s="919"/>
    </row>
    <row r="109" spans="2:2" ht="12.75" customHeight="1">
      <c r="B109" s="919"/>
    </row>
    <row r="110" spans="2:2" ht="12.75" customHeight="1">
      <c r="B110" s="919"/>
    </row>
    <row r="111" spans="2:2" ht="12.75" customHeight="1">
      <c r="B111" s="919"/>
    </row>
    <row r="112" spans="2:2" ht="12.75" customHeight="1">
      <c r="B112" s="919"/>
    </row>
    <row r="113" spans="2:2" ht="12.75" customHeight="1">
      <c r="B113" s="919"/>
    </row>
    <row r="114" spans="2:2" ht="12.75" customHeight="1">
      <c r="B114" s="919"/>
    </row>
    <row r="115" spans="2:2" ht="12.75" customHeight="1">
      <c r="B115" s="919"/>
    </row>
    <row r="116" spans="2:2" ht="12.75" customHeight="1">
      <c r="B116" s="919"/>
    </row>
    <row r="117" spans="2:2" ht="12.75" customHeight="1">
      <c r="B117" s="919"/>
    </row>
    <row r="118" spans="2:2" ht="12.75" customHeight="1">
      <c r="B118" s="919"/>
    </row>
    <row r="119" spans="2:2" ht="12.75" customHeight="1">
      <c r="B119" s="919"/>
    </row>
    <row r="120" spans="2:2" ht="12.75" customHeight="1">
      <c r="B120" s="919"/>
    </row>
    <row r="121" spans="2:2" ht="12.75" customHeight="1">
      <c r="B121" s="919"/>
    </row>
    <row r="122" spans="2:2" ht="12.75" customHeight="1">
      <c r="B122" s="919"/>
    </row>
    <row r="123" spans="2:2" ht="12.75" customHeight="1">
      <c r="B123" s="919"/>
    </row>
    <row r="124" spans="2:2" ht="12.75" customHeight="1">
      <c r="B124" s="919"/>
    </row>
    <row r="125" spans="2:2" ht="12.75" customHeight="1">
      <c r="B125" s="919"/>
    </row>
    <row r="126" spans="2:2" ht="12.75" customHeight="1">
      <c r="B126" s="919"/>
    </row>
    <row r="127" spans="2:2" ht="12.75" customHeight="1">
      <c r="B127" s="919"/>
    </row>
    <row r="128" spans="2:2" ht="12.75" customHeight="1">
      <c r="B128" s="919"/>
    </row>
    <row r="129" spans="2:2" ht="12.75" customHeight="1">
      <c r="B129" s="919"/>
    </row>
    <row r="130" spans="2:2" ht="12.75" customHeight="1">
      <c r="B130" s="919"/>
    </row>
    <row r="131" spans="2:2" ht="12.75" customHeight="1">
      <c r="B131" s="919"/>
    </row>
    <row r="132" spans="2:2" ht="12.75" customHeight="1">
      <c r="B132" s="919"/>
    </row>
    <row r="133" spans="2:2" ht="12.75" customHeight="1">
      <c r="B133" s="919"/>
    </row>
    <row r="134" spans="2:2" ht="12.75" customHeight="1">
      <c r="B134" s="919"/>
    </row>
    <row r="135" spans="2:2" ht="12.75" customHeight="1">
      <c r="B135" s="919"/>
    </row>
    <row r="136" spans="2:2" ht="12.75" customHeight="1">
      <c r="B136" s="919"/>
    </row>
    <row r="137" spans="2:2" ht="12.75" customHeight="1">
      <c r="B137" s="919"/>
    </row>
    <row r="138" spans="2:2" ht="12.75" customHeight="1">
      <c r="B138" s="919"/>
    </row>
    <row r="139" spans="2:2" ht="12.75" customHeight="1">
      <c r="B139" s="919"/>
    </row>
    <row r="140" spans="2:2" ht="12.75" customHeight="1">
      <c r="B140" s="919"/>
    </row>
    <row r="141" spans="2:2" ht="12.75" customHeight="1">
      <c r="B141" s="919"/>
    </row>
    <row r="142" spans="2:2" ht="12.75" customHeight="1">
      <c r="B142" s="919"/>
    </row>
    <row r="143" spans="2:2" ht="12.75" customHeight="1">
      <c r="B143" s="919"/>
    </row>
    <row r="144" spans="2:2" ht="12.75" customHeight="1">
      <c r="B144" s="919"/>
    </row>
    <row r="145" spans="2:2" ht="12.75" customHeight="1">
      <c r="B145" s="919"/>
    </row>
    <row r="146" spans="2:2" ht="12.75" customHeight="1">
      <c r="B146" s="919"/>
    </row>
    <row r="147" spans="2:2" ht="12.75" customHeight="1">
      <c r="B147" s="919"/>
    </row>
    <row r="148" spans="2:2" ht="12.75" customHeight="1">
      <c r="B148" s="919"/>
    </row>
    <row r="149" spans="2:2" ht="12.75" customHeight="1">
      <c r="B149" s="919"/>
    </row>
    <row r="150" spans="2:2" ht="12.75" customHeight="1">
      <c r="B150" s="919"/>
    </row>
    <row r="151" spans="2:2" ht="12.75" customHeight="1">
      <c r="B151" s="919"/>
    </row>
    <row r="152" spans="2:2" ht="12.75" customHeight="1">
      <c r="B152" s="919"/>
    </row>
    <row r="153" spans="2:2" ht="12.75" customHeight="1">
      <c r="B153" s="919"/>
    </row>
    <row r="154" spans="2:2" ht="12.75" customHeight="1">
      <c r="B154" s="919"/>
    </row>
    <row r="155" spans="2:2" ht="12.75" customHeight="1">
      <c r="B155" s="919"/>
    </row>
    <row r="156" spans="2:2" ht="12.75" customHeight="1">
      <c r="B156" s="919"/>
    </row>
    <row r="157" spans="2:2" ht="12.75" customHeight="1">
      <c r="B157" s="919"/>
    </row>
    <row r="158" spans="2:2" ht="12.75" customHeight="1">
      <c r="B158" s="919"/>
    </row>
    <row r="159" spans="2:2" ht="12.75" customHeight="1">
      <c r="B159" s="919"/>
    </row>
    <row r="160" spans="2:2" ht="12.75" customHeight="1">
      <c r="B160" s="919"/>
    </row>
    <row r="161" spans="2:2" ht="12.75" customHeight="1">
      <c r="B161" s="919"/>
    </row>
    <row r="162" spans="2:2" ht="12.75" customHeight="1">
      <c r="B162" s="919"/>
    </row>
    <row r="163" spans="2:2" ht="12.75" customHeight="1">
      <c r="B163" s="919"/>
    </row>
    <row r="164" spans="2:2" ht="12.75" customHeight="1">
      <c r="B164" s="919"/>
    </row>
    <row r="165" spans="2:2" ht="12.75" customHeight="1">
      <c r="B165" s="919"/>
    </row>
    <row r="166" spans="2:2" ht="12.75" customHeight="1">
      <c r="B166" s="919"/>
    </row>
    <row r="167" spans="2:2" ht="12.75" customHeight="1">
      <c r="B167" s="919"/>
    </row>
    <row r="168" spans="2:2" ht="12.75" customHeight="1">
      <c r="B168" s="919"/>
    </row>
    <row r="169" spans="2:2" ht="12.75" customHeight="1">
      <c r="B169" s="919"/>
    </row>
    <row r="170" spans="2:2" ht="12.75" customHeight="1">
      <c r="B170" s="919"/>
    </row>
    <row r="171" spans="2:2" ht="12.75" customHeight="1">
      <c r="B171" s="919"/>
    </row>
    <row r="172" spans="2:2" ht="12.75" customHeight="1">
      <c r="B172" s="919"/>
    </row>
    <row r="173" spans="2:2" ht="12.75" customHeight="1">
      <c r="B173" s="919"/>
    </row>
    <row r="174" spans="2:2" ht="12.75" customHeight="1">
      <c r="B174" s="919"/>
    </row>
    <row r="175" spans="2:2" ht="12.75" customHeight="1">
      <c r="B175" s="919"/>
    </row>
    <row r="176" spans="2:2" ht="12.75" customHeight="1">
      <c r="B176" s="919"/>
    </row>
    <row r="177" spans="2:2" ht="12.75" customHeight="1">
      <c r="B177" s="919"/>
    </row>
    <row r="178" spans="2:2" ht="12.75" customHeight="1">
      <c r="B178" s="919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N41"/>
  <sheetViews>
    <sheetView topLeftCell="B4" zoomScale="110" zoomScaleNormal="110" workbookViewId="0">
      <selection activeCell="G17" sqref="G17"/>
    </sheetView>
  </sheetViews>
  <sheetFormatPr baseColWidth="10" defaultRowHeight="12"/>
  <cols>
    <col min="1" max="1" width="1.140625" style="157" hidden="1" customWidth="1"/>
    <col min="2" max="2" width="18.7109375" style="157" customWidth="1"/>
    <col min="3" max="3" width="44.28515625" style="157" customWidth="1"/>
    <col min="4" max="4" width="19.140625" style="215" customWidth="1"/>
    <col min="5" max="5" width="19.28515625" style="157" customWidth="1"/>
    <col min="6" max="6" width="19" style="157" customWidth="1"/>
    <col min="7" max="7" width="21.28515625" style="157" customWidth="1"/>
    <col min="8" max="8" width="18.7109375" style="157" customWidth="1"/>
    <col min="9" max="9" width="1.140625" style="157" customWidth="1"/>
    <col min="10" max="16384" width="11.42578125" style="157"/>
  </cols>
  <sheetData>
    <row r="1" spans="1:11" ht="6" customHeight="1">
      <c r="B1" s="156"/>
      <c r="C1" s="1676"/>
      <c r="D1" s="1676"/>
      <c r="E1" s="1676"/>
      <c r="F1" s="1677"/>
      <c r="G1" s="1677"/>
      <c r="H1" s="1677"/>
      <c r="I1" s="236"/>
    </row>
    <row r="2" spans="1:11" ht="6" customHeight="1">
      <c r="B2" s="156"/>
      <c r="D2" s="157"/>
    </row>
    <row r="3" spans="1:11" ht="14.1" customHeight="1">
      <c r="B3" s="159"/>
      <c r="C3" s="1639" t="s">
        <v>2987</v>
      </c>
      <c r="D3" s="1639"/>
      <c r="E3" s="1639"/>
      <c r="F3" s="1639"/>
      <c r="G3" s="1639"/>
      <c r="H3" s="159"/>
      <c r="I3" s="159"/>
    </row>
    <row r="4" spans="1:11" ht="14.1" customHeight="1">
      <c r="B4" s="159"/>
      <c r="C4" s="1639" t="s">
        <v>724</v>
      </c>
      <c r="D4" s="1639"/>
      <c r="E4" s="1639"/>
      <c r="F4" s="1639"/>
      <c r="G4" s="1639"/>
      <c r="H4" s="776"/>
      <c r="I4" s="159"/>
    </row>
    <row r="5" spans="1:11" ht="14.1" customHeight="1">
      <c r="B5" s="451"/>
      <c r="C5" s="1639" t="str">
        <f>+ECSF!C5</f>
        <v>Del 1 de enero al 31 de diciembre de 2021</v>
      </c>
      <c r="D5" s="1639"/>
      <c r="E5" s="1639"/>
      <c r="F5" s="1639"/>
      <c r="G5" s="1639"/>
      <c r="H5" s="159"/>
      <c r="I5" s="159"/>
    </row>
    <row r="6" spans="1:11" ht="14.1" customHeight="1">
      <c r="B6" s="159"/>
      <c r="C6" s="1639"/>
      <c r="D6" s="1639"/>
      <c r="E6" s="1639"/>
      <c r="F6" s="1639"/>
      <c r="G6" s="1639"/>
      <c r="H6" s="159"/>
      <c r="I6" s="159"/>
    </row>
    <row r="7" spans="1:11" ht="6.75" customHeight="1">
      <c r="A7" s="1640"/>
      <c r="B7" s="1640"/>
      <c r="C7" s="1640"/>
      <c r="D7" s="1640"/>
      <c r="E7" s="1640"/>
      <c r="F7" s="1640"/>
      <c r="G7" s="1640"/>
      <c r="H7" s="1640"/>
      <c r="I7" s="1640"/>
    </row>
    <row r="8" spans="1:11" ht="3" customHeight="1">
      <c r="A8" s="1640"/>
      <c r="B8" s="1640"/>
      <c r="C8" s="1640"/>
      <c r="D8" s="1640"/>
      <c r="E8" s="1640"/>
      <c r="F8" s="1640"/>
      <c r="G8" s="1640"/>
      <c r="H8" s="1640"/>
      <c r="I8" s="1640"/>
    </row>
    <row r="9" spans="1:11" s="237" customFormat="1">
      <c r="A9" s="518"/>
      <c r="B9" s="1679" t="s">
        <v>230</v>
      </c>
      <c r="C9" s="1679"/>
      <c r="D9" s="636" t="s">
        <v>725</v>
      </c>
      <c r="E9" s="636" t="s">
        <v>726</v>
      </c>
      <c r="F9" s="637" t="s">
        <v>727</v>
      </c>
      <c r="G9" s="637" t="s">
        <v>728</v>
      </c>
      <c r="H9" s="637" t="s">
        <v>729</v>
      </c>
      <c r="I9" s="638"/>
    </row>
    <row r="10" spans="1:11" s="237" customFormat="1">
      <c r="A10" s="519"/>
      <c r="B10" s="1680"/>
      <c r="C10" s="1680"/>
      <c r="D10" s="639">
        <v>1</v>
      </c>
      <c r="E10" s="639">
        <v>2</v>
      </c>
      <c r="F10" s="640">
        <v>3</v>
      </c>
      <c r="G10" s="640" t="s">
        <v>730</v>
      </c>
      <c r="H10" s="640" t="s">
        <v>731</v>
      </c>
      <c r="I10" s="641"/>
    </row>
    <row r="11" spans="1:11" ht="3" customHeight="1">
      <c r="A11" s="1681"/>
      <c r="B11" s="1640"/>
      <c r="C11" s="1640"/>
      <c r="D11" s="1640"/>
      <c r="E11" s="1640"/>
      <c r="F11" s="1640"/>
      <c r="G11" s="1640"/>
      <c r="H11" s="1640"/>
      <c r="I11" s="1682"/>
    </row>
    <row r="12" spans="1:11" ht="3" customHeight="1">
      <c r="A12" s="1683"/>
      <c r="B12" s="1684"/>
      <c r="C12" s="1684"/>
      <c r="D12" s="1684"/>
      <c r="E12" s="1684"/>
      <c r="F12" s="1684"/>
      <c r="G12" s="1684"/>
      <c r="H12" s="1684"/>
      <c r="I12" s="1685"/>
    </row>
    <row r="13" spans="1:11">
      <c r="A13" s="181"/>
      <c r="B13" s="1686" t="s">
        <v>668</v>
      </c>
      <c r="C13" s="1686"/>
      <c r="D13" s="238">
        <f>+D15+D24</f>
        <v>1157748367.0799999</v>
      </c>
      <c r="E13" s="238">
        <f>+E15+E24</f>
        <v>7904150765.170001</v>
      </c>
      <c r="F13" s="238">
        <f>+F15+F24</f>
        <v>7856122211.3399992</v>
      </c>
      <c r="G13" s="238">
        <f>+G15+G24</f>
        <v>1205776920.9100013</v>
      </c>
      <c r="H13" s="238">
        <f>+H15+H24</f>
        <v>48028553.830001295</v>
      </c>
      <c r="I13" s="239"/>
    </row>
    <row r="14" spans="1:11" ht="5.0999999999999996" customHeight="1">
      <c r="A14" s="181"/>
      <c r="B14" s="240"/>
      <c r="C14" s="240"/>
      <c r="D14" s="238"/>
      <c r="E14" s="238"/>
      <c r="F14" s="238"/>
      <c r="G14" s="238"/>
      <c r="H14" s="238"/>
      <c r="I14" s="239"/>
    </row>
    <row r="15" spans="1:11" ht="20.25">
      <c r="A15" s="241"/>
      <c r="B15" s="1607" t="s">
        <v>670</v>
      </c>
      <c r="C15" s="1607"/>
      <c r="D15" s="242">
        <f>SUM(D17:D22)</f>
        <v>222893482.79000002</v>
      </c>
      <c r="E15" s="242">
        <f>SUM(E17:E22)</f>
        <v>7709701128.4100008</v>
      </c>
      <c r="F15" s="242">
        <f>SUM(F17:F22)</f>
        <v>7715314834.0599995</v>
      </c>
      <c r="G15" s="242">
        <f>D15+E15-F15</f>
        <v>217279777.1400013</v>
      </c>
      <c r="H15" s="242">
        <f>G15-D15</f>
        <v>-5613705.6499987245</v>
      </c>
      <c r="I15" s="243"/>
      <c r="K15" s="244"/>
    </row>
    <row r="16" spans="1:11" ht="5.0999999999999996" customHeight="1">
      <c r="A16" s="168"/>
      <c r="B16" s="156"/>
      <c r="C16" s="156"/>
      <c r="D16" s="245"/>
      <c r="E16" s="245"/>
      <c r="F16" s="245"/>
      <c r="G16" s="245"/>
      <c r="H16" s="245"/>
      <c r="I16" s="246"/>
      <c r="K16" s="244"/>
    </row>
    <row r="17" spans="1:14" ht="19.5" customHeight="1">
      <c r="A17" s="168"/>
      <c r="B17" s="1678" t="s">
        <v>672</v>
      </c>
      <c r="C17" s="1678"/>
      <c r="D17" s="247">
        <f>+ESF!E17</f>
        <v>192432921.41000003</v>
      </c>
      <c r="E17" s="247">
        <f>+RptEAA!G9</f>
        <v>7454354523.96</v>
      </c>
      <c r="F17" s="247">
        <f>+RptEAA!H9</f>
        <v>7442524589.9099998</v>
      </c>
      <c r="G17" s="180">
        <f>D17+E17-F17</f>
        <v>204262855.46000004</v>
      </c>
      <c r="H17" s="180">
        <f>G17-D17</f>
        <v>11829934.050000012</v>
      </c>
      <c r="I17" s="246"/>
      <c r="K17" s="244" t="str">
        <f>IF(G17=ESF!D17," ","Error")</f>
        <v xml:space="preserve"> </v>
      </c>
    </row>
    <row r="18" spans="1:14" ht="19.5" customHeight="1">
      <c r="A18" s="168"/>
      <c r="B18" s="1678" t="s">
        <v>674</v>
      </c>
      <c r="C18" s="1678"/>
      <c r="D18" s="247">
        <f>+ESF!E18</f>
        <v>30004506.859999999</v>
      </c>
      <c r="E18" s="247">
        <f>+RptEAA!G10</f>
        <v>252417846.84999999</v>
      </c>
      <c r="F18" s="247">
        <f>+RptEAA!H10</f>
        <v>269886602.89999998</v>
      </c>
      <c r="G18" s="180">
        <f>D18+E18-F18</f>
        <v>12535750.810000002</v>
      </c>
      <c r="H18" s="180">
        <f t="shared" ref="H18:H22" si="0">G18-D18</f>
        <v>-17468756.049999997</v>
      </c>
      <c r="I18" s="246"/>
      <c r="K18" s="244" t="str">
        <f>IF(G18=ESF!D18," ","Error")</f>
        <v xml:space="preserve"> </v>
      </c>
    </row>
    <row r="19" spans="1:14" ht="19.5" customHeight="1">
      <c r="A19" s="168"/>
      <c r="B19" s="1678" t="s">
        <v>676</v>
      </c>
      <c r="C19" s="1678"/>
      <c r="D19" s="247">
        <f>+ESF!E19</f>
        <v>292951.38</v>
      </c>
      <c r="E19" s="247">
        <f>+RptEAA!G11</f>
        <v>2917216</v>
      </c>
      <c r="F19" s="247">
        <f>+RptEAA!H11</f>
        <v>2897818.25</v>
      </c>
      <c r="G19" s="180">
        <f t="shared" ref="G19:G22" si="1">D19+E19-F19</f>
        <v>312349.12999999989</v>
      </c>
      <c r="H19" s="180">
        <f t="shared" si="0"/>
        <v>19397.749999999884</v>
      </c>
      <c r="I19" s="246"/>
      <c r="K19" s="244" t="str">
        <f>IF(G19=ESF!D19," ","Error")</f>
        <v xml:space="preserve"> </v>
      </c>
    </row>
    <row r="20" spans="1:14" ht="19.5" customHeight="1">
      <c r="A20" s="168"/>
      <c r="B20" s="1678" t="s">
        <v>678</v>
      </c>
      <c r="C20" s="1678"/>
      <c r="D20" s="247">
        <v>0</v>
      </c>
      <c r="E20" s="247">
        <v>0</v>
      </c>
      <c r="F20" s="247">
        <v>0</v>
      </c>
      <c r="G20" s="180">
        <f t="shared" si="1"/>
        <v>0</v>
      </c>
      <c r="H20" s="180">
        <f t="shared" si="0"/>
        <v>0</v>
      </c>
      <c r="I20" s="246"/>
      <c r="K20" s="244" t="e">
        <f>IF(G20=ESF!#REF!," ","Error")</f>
        <v>#REF!</v>
      </c>
      <c r="N20" s="157" t="s">
        <v>732</v>
      </c>
    </row>
    <row r="21" spans="1:14" ht="19.5" customHeight="1">
      <c r="A21" s="168"/>
      <c r="B21" s="1678" t="s">
        <v>680</v>
      </c>
      <c r="C21" s="1678"/>
      <c r="D21" s="247">
        <f>+ESF!E21</f>
        <v>0</v>
      </c>
      <c r="E21" s="247">
        <v>0</v>
      </c>
      <c r="F21" s="247">
        <v>0</v>
      </c>
      <c r="G21" s="180">
        <f t="shared" si="1"/>
        <v>0</v>
      </c>
      <c r="H21" s="180">
        <f t="shared" si="0"/>
        <v>0</v>
      </c>
      <c r="I21" s="246"/>
      <c r="K21" s="244" t="str">
        <f>IF(G21=ESF!D21," ","Error")</f>
        <v xml:space="preserve"> </v>
      </c>
    </row>
    <row r="22" spans="1:14" ht="19.5" customHeight="1">
      <c r="A22" s="168"/>
      <c r="B22" s="1678" t="s">
        <v>683</v>
      </c>
      <c r="C22" s="1678"/>
      <c r="D22" s="247">
        <f>+ESF!E20</f>
        <v>163103.14000000001</v>
      </c>
      <c r="E22" s="247">
        <f>+RptEAA!G12</f>
        <v>11541.6</v>
      </c>
      <c r="F22" s="247">
        <f>+RptEAA!H12</f>
        <v>5823</v>
      </c>
      <c r="G22" s="180">
        <f t="shared" si="1"/>
        <v>168821.74000000002</v>
      </c>
      <c r="H22" s="180">
        <f t="shared" si="0"/>
        <v>5718.6000000000058</v>
      </c>
      <c r="I22" s="246"/>
      <c r="K22" s="244" t="str">
        <f>IF(G22=ESF!D20," ","Error")</f>
        <v xml:space="preserve"> </v>
      </c>
    </row>
    <row r="23" spans="1:14" ht="20.25">
      <c r="A23" s="168"/>
      <c r="B23" s="248"/>
      <c r="C23" s="248"/>
      <c r="D23" s="249"/>
      <c r="E23" s="249"/>
      <c r="F23" s="249"/>
      <c r="G23" s="249"/>
      <c r="H23" s="249"/>
      <c r="I23" s="246"/>
      <c r="K23" s="244"/>
    </row>
    <row r="24" spans="1:14" ht="20.25">
      <c r="A24" s="241"/>
      <c r="B24" s="1607" t="s">
        <v>688</v>
      </c>
      <c r="C24" s="1607"/>
      <c r="D24" s="242">
        <f>SUM(D26:D33)</f>
        <v>934854884.28999996</v>
      </c>
      <c r="E24" s="242">
        <f>SUM(E26:E33)</f>
        <v>194449636.75999999</v>
      </c>
      <c r="F24" s="242">
        <f>SUM(F26:F33)</f>
        <v>140807377.28</v>
      </c>
      <c r="G24" s="242">
        <f>D24+E24-F24</f>
        <v>988497143.76999998</v>
      </c>
      <c r="H24" s="242">
        <f>G24-D24</f>
        <v>53642259.480000019</v>
      </c>
      <c r="I24" s="243"/>
      <c r="K24" s="244"/>
    </row>
    <row r="25" spans="1:14" ht="5.0999999999999996" customHeight="1">
      <c r="A25" s="168"/>
      <c r="B25" s="156"/>
      <c r="C25" s="248"/>
      <c r="D25" s="245"/>
      <c r="E25" s="245"/>
      <c r="F25" s="245"/>
      <c r="G25" s="245"/>
      <c r="H25" s="245"/>
      <c r="I25" s="246"/>
      <c r="K25" s="244"/>
    </row>
    <row r="26" spans="1:14" ht="19.5" customHeight="1">
      <c r="A26" s="168"/>
      <c r="B26" s="1678" t="s">
        <v>690</v>
      </c>
      <c r="C26" s="1678"/>
      <c r="D26" s="247">
        <f>+ESF!E30</f>
        <v>1758830</v>
      </c>
      <c r="E26" s="247">
        <f>+RptEAA!G14</f>
        <v>0</v>
      </c>
      <c r="F26" s="247">
        <f>+RptEAA!H14</f>
        <v>0</v>
      </c>
      <c r="G26" s="180">
        <f>D26+E26-F26</f>
        <v>1758830</v>
      </c>
      <c r="H26" s="180">
        <f>G26-D26</f>
        <v>0</v>
      </c>
      <c r="I26" s="246"/>
      <c r="K26" s="244" t="str">
        <f>IF(G26=ESF!D30," ","error")</f>
        <v xml:space="preserve"> </v>
      </c>
    </row>
    <row r="27" spans="1:14" ht="19.5" customHeight="1">
      <c r="A27" s="168"/>
      <c r="B27" s="1678" t="s">
        <v>694</v>
      </c>
      <c r="C27" s="1678"/>
      <c r="D27" s="247">
        <f>+ESF!E32</f>
        <v>947679244.29999995</v>
      </c>
      <c r="E27" s="247">
        <f>+RptEAA!G15</f>
        <v>192559084.13</v>
      </c>
      <c r="F27" s="247">
        <f>+RptEAA!H15</f>
        <v>134235056.59</v>
      </c>
      <c r="G27" s="180">
        <f t="shared" ref="G27:G33" si="2">D27+E27-F27</f>
        <v>1006003271.8399998</v>
      </c>
      <c r="H27" s="180">
        <f t="shared" ref="H27:H33" si="3">G27-D27</f>
        <v>58324027.539999843</v>
      </c>
      <c r="I27" s="246"/>
      <c r="K27" s="244" t="str">
        <f>IF(G27=ESF!D32," ","error")</f>
        <v xml:space="preserve"> </v>
      </c>
    </row>
    <row r="28" spans="1:14" ht="19.5" customHeight="1">
      <c r="A28" s="168"/>
      <c r="B28" s="1678" t="s">
        <v>733</v>
      </c>
      <c r="C28" s="1678"/>
      <c r="D28" s="247">
        <f>+ESF!E33</f>
        <v>12279237.109999999</v>
      </c>
      <c r="E28" s="247">
        <f>+RptEAA!G16</f>
        <v>1421286.63</v>
      </c>
      <c r="F28" s="247">
        <f>+RptEAA!H16</f>
        <v>1334441.68</v>
      </c>
      <c r="G28" s="180">
        <f t="shared" si="2"/>
        <v>12366082.059999999</v>
      </c>
      <c r="H28" s="180">
        <f t="shared" si="3"/>
        <v>86844.949999999255</v>
      </c>
      <c r="I28" s="246"/>
      <c r="K28" s="244" t="str">
        <f>IF(G28=ESF!D33," ","error")</f>
        <v xml:space="preserve"> </v>
      </c>
    </row>
    <row r="29" spans="1:14" ht="19.5" customHeight="1">
      <c r="A29" s="168"/>
      <c r="B29" s="1678" t="s">
        <v>698</v>
      </c>
      <c r="C29" s="1678"/>
      <c r="D29" s="247">
        <f>+ESF!E34</f>
        <v>8744971.7599999998</v>
      </c>
      <c r="E29" s="247">
        <f>+RptEAA!G17</f>
        <v>386383.69</v>
      </c>
      <c r="F29" s="247">
        <f>+RptEAA!H17</f>
        <v>0</v>
      </c>
      <c r="G29" s="180">
        <f t="shared" si="2"/>
        <v>9131355.4499999993</v>
      </c>
      <c r="H29" s="180">
        <f t="shared" si="3"/>
        <v>386383.68999999948</v>
      </c>
      <c r="I29" s="246"/>
      <c r="K29" s="244" t="str">
        <f>IF(G29=ESF!D34," ","error")</f>
        <v xml:space="preserve"> </v>
      </c>
    </row>
    <row r="30" spans="1:14" ht="19.5" customHeight="1">
      <c r="A30" s="168"/>
      <c r="B30" s="1678" t="s">
        <v>699</v>
      </c>
      <c r="C30" s="1678"/>
      <c r="D30" s="247">
        <f>+ESF!E35</f>
        <v>-35607398.879999995</v>
      </c>
      <c r="E30" s="247">
        <f>+RptEAA!G18</f>
        <v>82882.31</v>
      </c>
      <c r="F30" s="247">
        <f>+RptEAA!H18</f>
        <v>5237879.01</v>
      </c>
      <c r="G30" s="180">
        <f t="shared" si="2"/>
        <v>-40762395.579999991</v>
      </c>
      <c r="H30" s="180">
        <f t="shared" si="3"/>
        <v>-5154996.6999999955</v>
      </c>
      <c r="I30" s="246"/>
      <c r="K30" s="244" t="str">
        <f>IF(G30=ESF!D35," ","error")</f>
        <v xml:space="preserve"> </v>
      </c>
    </row>
    <row r="31" spans="1:14" ht="19.5" customHeight="1">
      <c r="A31" s="168"/>
      <c r="B31" s="1678" t="s">
        <v>701</v>
      </c>
      <c r="C31" s="1678"/>
      <c r="D31" s="247">
        <f>+ESF!E36</f>
        <v>0</v>
      </c>
      <c r="E31" s="247">
        <v>0</v>
      </c>
      <c r="F31" s="247">
        <v>0</v>
      </c>
      <c r="G31" s="180">
        <f t="shared" si="2"/>
        <v>0</v>
      </c>
      <c r="H31" s="180">
        <f t="shared" si="3"/>
        <v>0</v>
      </c>
      <c r="I31" s="246"/>
      <c r="K31" s="244" t="str">
        <f>IF(G31=ESF!D36," ","error")</f>
        <v xml:space="preserve"> </v>
      </c>
    </row>
    <row r="32" spans="1:14" ht="19.5" customHeight="1">
      <c r="A32" s="168"/>
      <c r="B32" s="1678" t="s">
        <v>702</v>
      </c>
      <c r="C32" s="1678"/>
      <c r="D32" s="247">
        <f>+ESF!E37</f>
        <v>0</v>
      </c>
      <c r="E32" s="247">
        <v>0</v>
      </c>
      <c r="F32" s="247">
        <v>0</v>
      </c>
      <c r="G32" s="180">
        <f t="shared" si="2"/>
        <v>0</v>
      </c>
      <c r="H32" s="180">
        <f t="shared" si="3"/>
        <v>0</v>
      </c>
      <c r="I32" s="246"/>
      <c r="K32" s="244" t="str">
        <f>IF(G32=ESF!D37," ","error")</f>
        <v xml:space="preserve"> </v>
      </c>
    </row>
    <row r="33" spans="1:11" ht="19.5" customHeight="1">
      <c r="A33" s="168"/>
      <c r="B33" s="1678" t="s">
        <v>704</v>
      </c>
      <c r="C33" s="1678"/>
      <c r="D33" s="247">
        <f>+ESF!E38</f>
        <v>0</v>
      </c>
      <c r="E33" s="247">
        <v>0</v>
      </c>
      <c r="F33" s="247">
        <v>0</v>
      </c>
      <c r="G33" s="180">
        <f t="shared" si="2"/>
        <v>0</v>
      </c>
      <c r="H33" s="180">
        <f t="shared" si="3"/>
        <v>0</v>
      </c>
      <c r="I33" s="246"/>
      <c r="K33" s="244" t="str">
        <f>IF(G33=ESF!D38," ","error")</f>
        <v xml:space="preserve"> </v>
      </c>
    </row>
    <row r="34" spans="1:11" ht="20.25">
      <c r="A34" s="168"/>
      <c r="B34" s="248"/>
      <c r="C34" s="248"/>
      <c r="D34" s="249"/>
      <c r="E34" s="245"/>
      <c r="F34" s="245"/>
      <c r="G34" s="245"/>
      <c r="H34" s="245"/>
      <c r="I34" s="246"/>
      <c r="K34" s="244"/>
    </row>
    <row r="35" spans="1:11" ht="6" customHeight="1">
      <c r="A35" s="1687"/>
      <c r="B35" s="1688"/>
      <c r="C35" s="1688"/>
      <c r="D35" s="1688"/>
      <c r="E35" s="1688"/>
      <c r="F35" s="1688"/>
      <c r="G35" s="1688"/>
      <c r="H35" s="1688"/>
      <c r="I35" s="1689"/>
    </row>
    <row r="36" spans="1:11" ht="6" customHeight="1">
      <c r="B36" s="250"/>
      <c r="C36" s="251"/>
    </row>
    <row r="37" spans="1:11" ht="15" customHeight="1">
      <c r="B37" s="1605" t="s">
        <v>664</v>
      </c>
      <c r="C37" s="1605"/>
      <c r="D37" s="1605"/>
      <c r="E37" s="1605"/>
      <c r="F37" s="1605"/>
      <c r="G37" s="1605"/>
      <c r="H37" s="1605"/>
      <c r="I37" s="170"/>
      <c r="J37" s="170"/>
    </row>
    <row r="38" spans="1:11" ht="9.75" customHeight="1">
      <c r="B38" s="170"/>
      <c r="C38" s="193"/>
      <c r="D38" s="194"/>
      <c r="E38" s="194"/>
      <c r="G38" s="195"/>
      <c r="H38" s="193"/>
      <c r="I38" s="194"/>
      <c r="J38" s="194"/>
    </row>
    <row r="39" spans="1:11" ht="50.1" customHeight="1">
      <c r="B39" s="447"/>
      <c r="C39" s="446"/>
      <c r="D39" s="194"/>
      <c r="E39" s="153"/>
      <c r="F39" s="316"/>
      <c r="G39" s="316"/>
      <c r="H39" s="153"/>
      <c r="I39" s="194"/>
      <c r="J39" s="194"/>
    </row>
    <row r="40" spans="1:11" ht="14.1" customHeight="1">
      <c r="C40" s="1615" t="s">
        <v>2867</v>
      </c>
      <c r="D40" s="1615"/>
      <c r="E40" s="1690" t="s">
        <v>665</v>
      </c>
      <c r="F40" s="1615"/>
      <c r="G40" s="1615"/>
      <c r="H40" s="1690"/>
      <c r="I40" s="171"/>
    </row>
    <row r="41" spans="1:11" ht="14.1" customHeight="1">
      <c r="C41" s="1610" t="s">
        <v>1765</v>
      </c>
      <c r="D41" s="1610"/>
      <c r="E41" s="1610" t="s">
        <v>666</v>
      </c>
      <c r="F41" s="1610"/>
      <c r="G41" s="1610"/>
      <c r="H41" s="1610"/>
      <c r="I41" s="171"/>
    </row>
  </sheetData>
  <sheetProtection formatCells="0" selectLockedCells="1"/>
  <mergeCells count="34">
    <mergeCell ref="E41:H41"/>
    <mergeCell ref="B33:C33"/>
    <mergeCell ref="A35:I35"/>
    <mergeCell ref="B37:H37"/>
    <mergeCell ref="E40:H40"/>
    <mergeCell ref="C40:D40"/>
    <mergeCell ref="C41:D41"/>
    <mergeCell ref="B32:C32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B20:C20"/>
    <mergeCell ref="A7:I7"/>
    <mergeCell ref="A8:I8"/>
    <mergeCell ref="B9:C10"/>
    <mergeCell ref="A11:I11"/>
    <mergeCell ref="A12:I12"/>
    <mergeCell ref="B13:C13"/>
    <mergeCell ref="B15:C15"/>
    <mergeCell ref="B17:C17"/>
    <mergeCell ref="B18:C18"/>
    <mergeCell ref="B19:C19"/>
    <mergeCell ref="C6:G6"/>
    <mergeCell ref="C1:E1"/>
    <mergeCell ref="F1:H1"/>
    <mergeCell ref="C3:G3"/>
    <mergeCell ref="C4:G4"/>
    <mergeCell ref="C5:G5"/>
  </mergeCells>
  <printOptions verticalCentered="1"/>
  <pageMargins left="0.73" right="0" top="0.98425196850393704" bottom="0.59055118110236227" header="0" footer="0"/>
  <pageSetup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1EAB-9C4E-455E-9B01-95DCE9AB525C}">
  <sheetPr>
    <pageSetUpPr fitToPage="1"/>
  </sheetPr>
  <dimension ref="A1:G29"/>
  <sheetViews>
    <sheetView workbookViewId="0">
      <selection activeCell="F8" sqref="F8"/>
    </sheetView>
  </sheetViews>
  <sheetFormatPr baseColWidth="10" defaultColWidth="11.5703125" defaultRowHeight="12"/>
  <cols>
    <col min="1" max="1" width="2.7109375" style="1" customWidth="1"/>
    <col min="2" max="2" width="41.28515625" style="1" customWidth="1"/>
    <col min="3" max="3" width="15.5703125" style="1" customWidth="1"/>
    <col min="4" max="5" width="18.28515625" style="1" customWidth="1"/>
    <col min="6" max="7" width="15.5703125" style="1" customWidth="1"/>
    <col min="8" max="16384" width="11.5703125" style="1"/>
  </cols>
  <sheetData>
    <row r="1" spans="2:7" ht="12.75" thickBot="1"/>
    <row r="2" spans="2:7">
      <c r="B2" s="1667" t="str">
        <f>+'1 ea sif'!$B$2:$F$2</f>
        <v>PROMOTORA PARA EL DESARROLLO ECONÓMICO DE CHIHUAHUA</v>
      </c>
      <c r="C2" s="1668"/>
      <c r="D2" s="1668"/>
      <c r="E2" s="1668"/>
      <c r="F2" s="1668"/>
      <c r="G2" s="1669"/>
    </row>
    <row r="3" spans="2:7">
      <c r="B3" s="1670" t="s">
        <v>724</v>
      </c>
      <c r="C3" s="1671"/>
      <c r="D3" s="1671"/>
      <c r="E3" s="1671"/>
      <c r="F3" s="1671"/>
      <c r="G3" s="1672"/>
    </row>
    <row r="4" spans="2:7" ht="12.75" thickBot="1">
      <c r="B4" s="1673"/>
      <c r="C4" s="1674"/>
      <c r="D4" s="1674"/>
      <c r="E4" s="1674"/>
      <c r="F4" s="1674"/>
      <c r="G4" s="1675"/>
    </row>
    <row r="5" spans="2:7" ht="24">
      <c r="B5" s="1691" t="s">
        <v>230</v>
      </c>
      <c r="C5" s="952" t="s">
        <v>725</v>
      </c>
      <c r="D5" s="953" t="s">
        <v>726</v>
      </c>
      <c r="E5" s="953" t="s">
        <v>727</v>
      </c>
      <c r="F5" s="953" t="s">
        <v>728</v>
      </c>
      <c r="G5" s="953" t="s">
        <v>729</v>
      </c>
    </row>
    <row r="6" spans="2:7" ht="12.75" thickBot="1">
      <c r="B6" s="1692"/>
      <c r="C6" s="954">
        <v>1</v>
      </c>
      <c r="D6" s="954">
        <v>2</v>
      </c>
      <c r="E6" s="954">
        <v>3</v>
      </c>
      <c r="F6" s="954" t="s">
        <v>4768</v>
      </c>
      <c r="G6" s="954" t="s">
        <v>4769</v>
      </c>
    </row>
    <row r="7" spans="2:7">
      <c r="B7" s="955"/>
      <c r="C7" s="956"/>
      <c r="D7" s="956"/>
      <c r="E7" s="956"/>
      <c r="F7" s="956"/>
      <c r="G7" s="956"/>
    </row>
    <row r="8" spans="2:7">
      <c r="B8" s="957" t="s">
        <v>1018</v>
      </c>
      <c r="C8" s="958">
        <f>SUM(C10,C19)</f>
        <v>1157748367.0799999</v>
      </c>
      <c r="D8" s="958">
        <f>SUM(D10,D19)</f>
        <v>7904150765.170001</v>
      </c>
      <c r="E8" s="958">
        <f>SUM(E10,E19)</f>
        <v>7856122211.3399992</v>
      </c>
      <c r="F8" s="958">
        <f>C8+D8-E8</f>
        <v>1205776920.9100008</v>
      </c>
      <c r="G8" s="958">
        <f>F8-C8</f>
        <v>48028553.830000877</v>
      </c>
    </row>
    <row r="9" spans="2:7">
      <c r="B9" s="955"/>
      <c r="C9" s="959"/>
      <c r="D9" s="959"/>
      <c r="E9" s="959"/>
      <c r="F9" s="959"/>
      <c r="G9" s="959"/>
    </row>
    <row r="10" spans="2:7">
      <c r="B10" s="960" t="s">
        <v>670</v>
      </c>
      <c r="C10" s="958">
        <f>SUM(C11:C17)</f>
        <v>222893482.79000002</v>
      </c>
      <c r="D10" s="958">
        <f>SUM(D11:D17)</f>
        <v>7709701128.4100008</v>
      </c>
      <c r="E10" s="958">
        <f>SUM(E11:E17)</f>
        <v>7715314834.0599995</v>
      </c>
      <c r="F10" s="958">
        <f t="shared" ref="F10:F17" si="0">C10+D10-E10</f>
        <v>217279777.1400013</v>
      </c>
      <c r="G10" s="958">
        <f t="shared" ref="G10:G17" si="1">F10-C10</f>
        <v>-5613705.6499987245</v>
      </c>
    </row>
    <row r="11" spans="2:7">
      <c r="B11" s="961" t="s">
        <v>672</v>
      </c>
      <c r="C11" s="962">
        <f>+EAA!D17</f>
        <v>192432921.41000003</v>
      </c>
      <c r="D11" s="962">
        <f>+EAA!E17</f>
        <v>7454354523.96</v>
      </c>
      <c r="E11" s="962">
        <f>+EAA!F17</f>
        <v>7442524589.9099998</v>
      </c>
      <c r="F11" s="963">
        <f t="shared" si="0"/>
        <v>204262855.46000004</v>
      </c>
      <c r="G11" s="963">
        <f t="shared" si="1"/>
        <v>11829934.050000012</v>
      </c>
    </row>
    <row r="12" spans="2:7">
      <c r="B12" s="961" t="s">
        <v>674</v>
      </c>
      <c r="C12" s="962">
        <f>+EAA!D18</f>
        <v>30004506.859999999</v>
      </c>
      <c r="D12" s="962">
        <f>+EAA!E18</f>
        <v>252417846.84999999</v>
      </c>
      <c r="E12" s="962">
        <f>+EAA!F18</f>
        <v>269886602.89999998</v>
      </c>
      <c r="F12" s="963">
        <f t="shared" si="0"/>
        <v>12535750.810000002</v>
      </c>
      <c r="G12" s="963">
        <f t="shared" si="1"/>
        <v>-17468756.049999997</v>
      </c>
    </row>
    <row r="13" spans="2:7">
      <c r="B13" s="961" t="s">
        <v>676</v>
      </c>
      <c r="C13" s="962">
        <f>+EAA!D19</f>
        <v>292951.38</v>
      </c>
      <c r="D13" s="962">
        <f>+EAA!E19</f>
        <v>2917216</v>
      </c>
      <c r="E13" s="962">
        <f>+EAA!F19</f>
        <v>2897818.25</v>
      </c>
      <c r="F13" s="963">
        <f t="shared" si="0"/>
        <v>312349.12999999989</v>
      </c>
      <c r="G13" s="963">
        <f t="shared" si="1"/>
        <v>19397.749999999884</v>
      </c>
    </row>
    <row r="14" spans="2:7">
      <c r="B14" s="961" t="s">
        <v>4734</v>
      </c>
      <c r="C14" s="962">
        <v>0</v>
      </c>
      <c r="D14" s="962">
        <v>0</v>
      </c>
      <c r="E14" s="962">
        <v>0</v>
      </c>
      <c r="F14" s="963">
        <f t="shared" si="0"/>
        <v>0</v>
      </c>
      <c r="G14" s="963">
        <f t="shared" si="1"/>
        <v>0</v>
      </c>
    </row>
    <row r="15" spans="2:7">
      <c r="B15" s="961" t="s">
        <v>680</v>
      </c>
      <c r="C15" s="962">
        <v>0</v>
      </c>
      <c r="D15" s="962">
        <v>0</v>
      </c>
      <c r="E15" s="962">
        <v>0</v>
      </c>
      <c r="F15" s="963">
        <f t="shared" si="0"/>
        <v>0</v>
      </c>
      <c r="G15" s="963">
        <f t="shared" si="1"/>
        <v>0</v>
      </c>
    </row>
    <row r="16" spans="2:7" ht="24">
      <c r="B16" s="961" t="s">
        <v>682</v>
      </c>
      <c r="C16" s="962">
        <v>0</v>
      </c>
      <c r="D16" s="962">
        <v>0</v>
      </c>
      <c r="E16" s="962">
        <v>0</v>
      </c>
      <c r="F16" s="963">
        <f t="shared" si="0"/>
        <v>0</v>
      </c>
      <c r="G16" s="963">
        <f t="shared" si="1"/>
        <v>0</v>
      </c>
    </row>
    <row r="17" spans="1:7">
      <c r="B17" s="961" t="s">
        <v>4736</v>
      </c>
      <c r="C17" s="962">
        <f>+EAA!D22</f>
        <v>163103.14000000001</v>
      </c>
      <c r="D17" s="962">
        <f>+EAA!E22</f>
        <v>11541.6</v>
      </c>
      <c r="E17" s="962">
        <f>+EAA!F22</f>
        <v>5823</v>
      </c>
      <c r="F17" s="963">
        <f t="shared" si="0"/>
        <v>168821.74000000002</v>
      </c>
      <c r="G17" s="963">
        <f t="shared" si="1"/>
        <v>5718.6000000000058</v>
      </c>
    </row>
    <row r="18" spans="1:7">
      <c r="B18" s="960"/>
      <c r="C18" s="964"/>
      <c r="D18" s="964"/>
      <c r="E18" s="964"/>
      <c r="F18" s="964"/>
      <c r="G18" s="964"/>
    </row>
    <row r="19" spans="1:7">
      <c r="B19" s="960" t="s">
        <v>688</v>
      </c>
      <c r="C19" s="958">
        <f>SUM(C20:C28)</f>
        <v>934854884.28999996</v>
      </c>
      <c r="D19" s="958">
        <f>SUM(D20:D28)</f>
        <v>194449636.75999999</v>
      </c>
      <c r="E19" s="958">
        <f>SUM(E20:E28)</f>
        <v>140807377.28</v>
      </c>
      <c r="F19" s="958">
        <f t="shared" ref="F19:F28" si="2">C19+D19-E19</f>
        <v>988497143.76999998</v>
      </c>
      <c r="G19" s="958">
        <f t="shared" ref="G19:G28" si="3">F19-C19</f>
        <v>53642259.480000019</v>
      </c>
    </row>
    <row r="20" spans="1:7">
      <c r="B20" s="961" t="s">
        <v>690</v>
      </c>
      <c r="C20" s="962">
        <f>+EAA!D26</f>
        <v>1758830</v>
      </c>
      <c r="D20" s="962">
        <f>+EAA!E26</f>
        <v>0</v>
      </c>
      <c r="E20" s="962">
        <f>+EAA!F26</f>
        <v>0</v>
      </c>
      <c r="F20" s="963">
        <f t="shared" si="2"/>
        <v>1758830</v>
      </c>
      <c r="G20" s="963">
        <f t="shared" si="3"/>
        <v>0</v>
      </c>
    </row>
    <row r="21" spans="1:7" ht="24">
      <c r="B21" s="961" t="s">
        <v>692</v>
      </c>
      <c r="C21" s="962"/>
      <c r="D21" s="962"/>
      <c r="E21" s="962"/>
      <c r="F21" s="963">
        <f t="shared" si="2"/>
        <v>0</v>
      </c>
      <c r="G21" s="963">
        <f t="shared" si="3"/>
        <v>0</v>
      </c>
    </row>
    <row r="22" spans="1:7" ht="24">
      <c r="A22" s="965" t="s">
        <v>4770</v>
      </c>
      <c r="B22" s="961" t="s">
        <v>694</v>
      </c>
      <c r="C22" s="962">
        <f>+EAA!D27</f>
        <v>947679244.29999995</v>
      </c>
      <c r="D22" s="962">
        <f>+EAA!E27</f>
        <v>192559084.13</v>
      </c>
      <c r="E22" s="962">
        <f>+EAA!F27</f>
        <v>134235056.59</v>
      </c>
      <c r="F22" s="963">
        <f t="shared" si="2"/>
        <v>1006003271.8399998</v>
      </c>
      <c r="G22" s="963">
        <f t="shared" si="3"/>
        <v>58324027.539999843</v>
      </c>
    </row>
    <row r="23" spans="1:7">
      <c r="B23" s="961" t="s">
        <v>696</v>
      </c>
      <c r="C23" s="962">
        <f>+EAA!D28</f>
        <v>12279237.109999999</v>
      </c>
      <c r="D23" s="962">
        <f>+EAA!E28</f>
        <v>1421286.63</v>
      </c>
      <c r="E23" s="962">
        <f>+EAA!F28</f>
        <v>1334441.68</v>
      </c>
      <c r="F23" s="963">
        <f t="shared" si="2"/>
        <v>12366082.059999999</v>
      </c>
      <c r="G23" s="963">
        <f t="shared" si="3"/>
        <v>86844.949999999255</v>
      </c>
    </row>
    <row r="24" spans="1:7">
      <c r="B24" s="961" t="s">
        <v>698</v>
      </c>
      <c r="C24" s="962">
        <f>+EAA!D29</f>
        <v>8744971.7599999998</v>
      </c>
      <c r="D24" s="962">
        <f>+EAA!E29</f>
        <v>386383.69</v>
      </c>
      <c r="E24" s="962">
        <f>+EAA!F29</f>
        <v>0</v>
      </c>
      <c r="F24" s="963">
        <f t="shared" si="2"/>
        <v>9131355.4499999993</v>
      </c>
      <c r="G24" s="963">
        <f t="shared" si="3"/>
        <v>386383.68999999948</v>
      </c>
    </row>
    <row r="25" spans="1:7" ht="24">
      <c r="B25" s="961" t="s">
        <v>699</v>
      </c>
      <c r="C25" s="962">
        <f>+EAA!D30</f>
        <v>-35607398.879999995</v>
      </c>
      <c r="D25" s="962">
        <f>+EAA!E30</f>
        <v>82882.31</v>
      </c>
      <c r="E25" s="962">
        <f>+EAA!F30</f>
        <v>5237879.01</v>
      </c>
      <c r="F25" s="963">
        <f t="shared" si="2"/>
        <v>-40762395.579999991</v>
      </c>
      <c r="G25" s="963">
        <f t="shared" si="3"/>
        <v>-5154996.6999999955</v>
      </c>
    </row>
    <row r="26" spans="1:7">
      <c r="B26" s="961" t="s">
        <v>701</v>
      </c>
      <c r="C26" s="962">
        <v>0</v>
      </c>
      <c r="D26" s="962">
        <v>0</v>
      </c>
      <c r="E26" s="962">
        <v>0</v>
      </c>
      <c r="F26" s="963">
        <f t="shared" si="2"/>
        <v>0</v>
      </c>
      <c r="G26" s="963">
        <f t="shared" si="3"/>
        <v>0</v>
      </c>
    </row>
    <row r="27" spans="1:7" ht="24">
      <c r="B27" s="961" t="s">
        <v>702</v>
      </c>
      <c r="C27" s="962">
        <v>0</v>
      </c>
      <c r="D27" s="962">
        <v>0</v>
      </c>
      <c r="E27" s="962">
        <v>0</v>
      </c>
      <c r="F27" s="963">
        <f t="shared" si="2"/>
        <v>0</v>
      </c>
      <c r="G27" s="963">
        <f t="shared" si="3"/>
        <v>0</v>
      </c>
    </row>
    <row r="28" spans="1:7">
      <c r="B28" s="961" t="s">
        <v>704</v>
      </c>
      <c r="C28" s="962">
        <v>0</v>
      </c>
      <c r="D28" s="962">
        <v>0</v>
      </c>
      <c r="E28" s="962">
        <v>0</v>
      </c>
      <c r="F28" s="963">
        <f t="shared" si="2"/>
        <v>0</v>
      </c>
      <c r="G28" s="963">
        <f t="shared" si="3"/>
        <v>0</v>
      </c>
    </row>
    <row r="29" spans="1:7" ht="12.75" thickBot="1">
      <c r="B29" s="966"/>
      <c r="C29" s="967"/>
      <c r="D29" s="967"/>
      <c r="E29" s="967"/>
      <c r="F29" s="967"/>
      <c r="G29" s="967"/>
    </row>
  </sheetData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52"/>
  <sheetViews>
    <sheetView topLeftCell="A22" zoomScaleNormal="100" workbookViewId="0">
      <selection activeCell="K43" sqref="K43"/>
    </sheetView>
  </sheetViews>
  <sheetFormatPr baseColWidth="10" defaultRowHeight="12"/>
  <cols>
    <col min="1" max="1" width="4.85546875" style="157" customWidth="1"/>
    <col min="2" max="2" width="17.28515625" style="157" customWidth="1"/>
    <col min="3" max="3" width="15.7109375" style="157" customWidth="1"/>
    <col min="4" max="4" width="23" style="157" customWidth="1"/>
    <col min="5" max="5" width="3.42578125" style="157" customWidth="1"/>
    <col min="6" max="6" width="22.28515625" style="157" customWidth="1"/>
    <col min="7" max="7" width="29.7109375" style="157" customWidth="1"/>
    <col min="8" max="8" width="20.7109375" style="157" customWidth="1"/>
    <col min="9" max="9" width="20.85546875" style="157" customWidth="1"/>
    <col min="10" max="10" width="3.7109375" style="157" customWidth="1"/>
    <col min="11" max="16384" width="11.42578125" style="157"/>
  </cols>
  <sheetData>
    <row r="1" spans="1:10" ht="6" customHeight="1">
      <c r="A1" s="153"/>
      <c r="B1" s="154"/>
      <c r="C1" s="153"/>
      <c r="D1" s="153"/>
      <c r="E1" s="153"/>
      <c r="F1" s="153"/>
      <c r="G1" s="153"/>
      <c r="H1" s="153"/>
      <c r="I1" s="153"/>
      <c r="J1" s="153"/>
    </row>
    <row r="2" spans="1:10" ht="6" customHeight="1">
      <c r="B2" s="156"/>
    </row>
    <row r="3" spans="1:10" ht="6" customHeight="1"/>
    <row r="4" spans="1:10" ht="14.1" customHeight="1">
      <c r="B4" s="208"/>
      <c r="C4" s="1604" t="s">
        <v>2987</v>
      </c>
      <c r="D4" s="1604"/>
      <c r="E4" s="1604"/>
      <c r="F4" s="1604"/>
      <c r="G4" s="1604"/>
      <c r="H4" s="1604"/>
      <c r="I4" s="208"/>
      <c r="J4" s="208"/>
    </row>
    <row r="5" spans="1:10" ht="14.1" customHeight="1">
      <c r="B5" s="208"/>
      <c r="C5" s="1604" t="s">
        <v>734</v>
      </c>
      <c r="D5" s="1604"/>
      <c r="E5" s="1604"/>
      <c r="F5" s="1604"/>
      <c r="G5" s="1604"/>
      <c r="H5" s="1604"/>
      <c r="I5" s="208"/>
      <c r="J5" s="208"/>
    </row>
    <row r="6" spans="1:10" ht="14.1" customHeight="1">
      <c r="B6" s="453"/>
      <c r="C6" s="1604" t="str">
        <f>+EA!C3</f>
        <v>Del 1 de enero al 31 de diciembre de 2021</v>
      </c>
      <c r="D6" s="1604"/>
      <c r="E6" s="1604"/>
      <c r="F6" s="1604"/>
      <c r="G6" s="1604"/>
      <c r="H6" s="1604"/>
      <c r="I6" s="208"/>
      <c r="J6" s="208"/>
    </row>
    <row r="7" spans="1:10" ht="14.1" customHeight="1">
      <c r="B7" s="208"/>
      <c r="C7" s="1604"/>
      <c r="D7" s="1604"/>
      <c r="E7" s="1604"/>
      <c r="F7" s="1604"/>
      <c r="G7" s="1604"/>
      <c r="H7" s="1604"/>
      <c r="I7" s="208"/>
      <c r="J7" s="208"/>
    </row>
    <row r="8" spans="1:10" ht="6" customHeight="1">
      <c r="A8" s="161"/>
      <c r="B8" s="1693"/>
      <c r="C8" s="1693"/>
      <c r="D8" s="1694"/>
      <c r="E8" s="1694"/>
      <c r="F8" s="1694"/>
      <c r="G8" s="1694"/>
      <c r="H8" s="1694"/>
      <c r="I8" s="1694"/>
      <c r="J8" s="252"/>
    </row>
    <row r="9" spans="1:10" ht="5.0999999999999996" customHeight="1">
      <c r="A9" s="253"/>
      <c r="B9" s="1640"/>
      <c r="C9" s="1640"/>
      <c r="D9" s="1640"/>
      <c r="E9" s="1640"/>
      <c r="F9" s="1640"/>
      <c r="G9" s="1640"/>
      <c r="H9" s="1640"/>
      <c r="I9" s="1640"/>
      <c r="J9" s="1640"/>
    </row>
    <row r="10" spans="1:10" ht="3" customHeight="1">
      <c r="A10" s="253"/>
      <c r="B10" s="1640"/>
      <c r="C10" s="1640"/>
      <c r="D10" s="1640"/>
      <c r="E10" s="1640"/>
      <c r="F10" s="1640"/>
      <c r="G10" s="1640"/>
      <c r="H10" s="1640"/>
      <c r="I10" s="1640"/>
      <c r="J10" s="1640"/>
    </row>
    <row r="11" spans="1:10" ht="30" customHeight="1">
      <c r="A11" s="642"/>
      <c r="B11" s="1603" t="s">
        <v>735</v>
      </c>
      <c r="C11" s="1603"/>
      <c r="D11" s="1603"/>
      <c r="E11" s="643"/>
      <c r="F11" s="644" t="s">
        <v>736</v>
      </c>
      <c r="G11" s="644" t="s">
        <v>737</v>
      </c>
      <c r="H11" s="643" t="s">
        <v>738</v>
      </c>
      <c r="I11" s="643" t="s">
        <v>739</v>
      </c>
      <c r="J11" s="645"/>
    </row>
    <row r="12" spans="1:10" ht="3" customHeight="1">
      <c r="A12" s="254"/>
      <c r="B12" s="1640"/>
      <c r="C12" s="1640"/>
      <c r="D12" s="1640"/>
      <c r="E12" s="1640"/>
      <c r="F12" s="1640"/>
      <c r="G12" s="1640"/>
      <c r="H12" s="1640"/>
      <c r="I12" s="1640"/>
      <c r="J12" s="1682"/>
    </row>
    <row r="13" spans="1:10" ht="9.9499999999999993" customHeight="1">
      <c r="A13" s="166"/>
      <c r="B13" s="1684"/>
      <c r="C13" s="1684"/>
      <c r="D13" s="1684"/>
      <c r="E13" s="1684"/>
      <c r="F13" s="1684"/>
      <c r="G13" s="1684"/>
      <c r="H13" s="1684"/>
      <c r="I13" s="1684"/>
      <c r="J13" s="1685"/>
    </row>
    <row r="14" spans="1:10">
      <c r="A14" s="166"/>
      <c r="B14" s="1696" t="s">
        <v>740</v>
      </c>
      <c r="C14" s="1696"/>
      <c r="D14" s="1696"/>
      <c r="E14" s="255"/>
      <c r="F14" s="255"/>
      <c r="G14" s="255"/>
      <c r="H14" s="255"/>
      <c r="I14" s="255"/>
      <c r="J14" s="256"/>
    </row>
    <row r="15" spans="1:10">
      <c r="A15" s="257"/>
      <c r="B15" s="1697" t="s">
        <v>741</v>
      </c>
      <c r="C15" s="1697"/>
      <c r="D15" s="1697"/>
      <c r="E15" s="171"/>
      <c r="F15" s="171"/>
      <c r="G15" s="171"/>
      <c r="H15" s="171"/>
      <c r="I15" s="171"/>
      <c r="J15" s="258"/>
    </row>
    <row r="16" spans="1:10">
      <c r="A16" s="257"/>
      <c r="B16" s="1696" t="s">
        <v>742</v>
      </c>
      <c r="C16" s="1696"/>
      <c r="D16" s="1696"/>
      <c r="E16" s="171"/>
      <c r="F16" s="259"/>
      <c r="G16" s="259"/>
      <c r="H16" s="222">
        <f>SUM(H17:H19)</f>
        <v>0</v>
      </c>
      <c r="I16" s="222">
        <f>SUM(I17:I19)</f>
        <v>0</v>
      </c>
      <c r="J16" s="239"/>
    </row>
    <row r="17" spans="1:10">
      <c r="A17" s="216"/>
      <c r="B17" s="260"/>
      <c r="C17" s="1612" t="s">
        <v>743</v>
      </c>
      <c r="D17" s="1612"/>
      <c r="E17" s="171"/>
      <c r="F17" s="261"/>
      <c r="G17" s="261"/>
      <c r="H17" s="262">
        <v>0</v>
      </c>
      <c r="I17" s="262">
        <v>0</v>
      </c>
      <c r="J17" s="246"/>
    </row>
    <row r="18" spans="1:10">
      <c r="A18" s="216"/>
      <c r="B18" s="260"/>
      <c r="C18" s="1612" t="s">
        <v>744</v>
      </c>
      <c r="D18" s="1612"/>
      <c r="E18" s="171"/>
      <c r="F18" s="261"/>
      <c r="G18" s="261"/>
      <c r="H18" s="262">
        <v>0</v>
      </c>
      <c r="I18" s="262">
        <v>0</v>
      </c>
      <c r="J18" s="246"/>
    </row>
    <row r="19" spans="1:10">
      <c r="A19" s="216"/>
      <c r="B19" s="260"/>
      <c r="C19" s="1612" t="s">
        <v>745</v>
      </c>
      <c r="D19" s="1612"/>
      <c r="E19" s="171"/>
      <c r="F19" s="261"/>
      <c r="G19" s="261"/>
      <c r="H19" s="262">
        <v>0</v>
      </c>
      <c r="I19" s="262">
        <v>0</v>
      </c>
      <c r="J19" s="246"/>
    </row>
    <row r="20" spans="1:10" ht="9.9499999999999993" customHeight="1">
      <c r="A20" s="216"/>
      <c r="B20" s="260"/>
      <c r="C20" s="260"/>
      <c r="D20" s="170"/>
      <c r="E20" s="171"/>
      <c r="F20" s="263"/>
      <c r="G20" s="263"/>
      <c r="H20" s="264"/>
      <c r="I20" s="264"/>
      <c r="J20" s="246"/>
    </row>
    <row r="21" spans="1:10">
      <c r="A21" s="257"/>
      <c r="B21" s="1696" t="s">
        <v>746</v>
      </c>
      <c r="C21" s="1696"/>
      <c r="D21" s="1696"/>
      <c r="E21" s="171"/>
      <c r="F21" s="259"/>
      <c r="G21" s="259"/>
      <c r="H21" s="222">
        <f>SUM(H22:H25)</f>
        <v>0</v>
      </c>
      <c r="I21" s="222">
        <f>SUM(I22:I25)</f>
        <v>0</v>
      </c>
      <c r="J21" s="239"/>
    </row>
    <row r="22" spans="1:10">
      <c r="A22" s="216"/>
      <c r="B22" s="260"/>
      <c r="C22" s="1612" t="s">
        <v>747</v>
      </c>
      <c r="D22" s="1612"/>
      <c r="E22" s="171"/>
      <c r="F22" s="261"/>
      <c r="G22" s="261"/>
      <c r="H22" s="262">
        <v>0</v>
      </c>
      <c r="I22" s="262">
        <v>0</v>
      </c>
      <c r="J22" s="246"/>
    </row>
    <row r="23" spans="1:10">
      <c r="A23" s="216"/>
      <c r="B23" s="260"/>
      <c r="C23" s="1612" t="s">
        <v>748</v>
      </c>
      <c r="D23" s="1612"/>
      <c r="E23" s="171"/>
      <c r="F23" s="261"/>
      <c r="G23" s="261"/>
      <c r="H23" s="262">
        <v>0</v>
      </c>
      <c r="I23" s="262">
        <v>0</v>
      </c>
      <c r="J23" s="246"/>
    </row>
    <row r="24" spans="1:10">
      <c r="A24" s="216"/>
      <c r="B24" s="260"/>
      <c r="C24" s="1612" t="s">
        <v>744</v>
      </c>
      <c r="D24" s="1612"/>
      <c r="E24" s="171"/>
      <c r="F24" s="261"/>
      <c r="G24" s="261"/>
      <c r="H24" s="262">
        <v>0</v>
      </c>
      <c r="I24" s="262">
        <v>0</v>
      </c>
      <c r="J24" s="246"/>
    </row>
    <row r="25" spans="1:10">
      <c r="A25" s="216"/>
      <c r="B25" s="156"/>
      <c r="C25" s="1612" t="s">
        <v>745</v>
      </c>
      <c r="D25" s="1612"/>
      <c r="E25" s="171"/>
      <c r="F25" s="261"/>
      <c r="G25" s="261"/>
      <c r="H25" s="265">
        <v>0</v>
      </c>
      <c r="I25" s="265">
        <v>0</v>
      </c>
      <c r="J25" s="246"/>
    </row>
    <row r="26" spans="1:10" ht="9.9499999999999993" customHeight="1">
      <c r="A26" s="216"/>
      <c r="B26" s="260"/>
      <c r="C26" s="260"/>
      <c r="D26" s="170"/>
      <c r="E26" s="171"/>
      <c r="F26" s="266"/>
      <c r="G26" s="266"/>
      <c r="H26" s="201"/>
      <c r="I26" s="201"/>
      <c r="J26" s="246"/>
    </row>
    <row r="27" spans="1:10">
      <c r="A27" s="267"/>
      <c r="B27" s="1695" t="s">
        <v>749</v>
      </c>
      <c r="C27" s="1695"/>
      <c r="D27" s="1695"/>
      <c r="E27" s="176"/>
      <c r="F27" s="268"/>
      <c r="G27" s="268"/>
      <c r="H27" s="269">
        <f>H16+H21</f>
        <v>0</v>
      </c>
      <c r="I27" s="269">
        <f>I16+I21</f>
        <v>0</v>
      </c>
      <c r="J27" s="243"/>
    </row>
    <row r="28" spans="1:10">
      <c r="A28" s="257"/>
      <c r="B28" s="260"/>
      <c r="C28" s="260"/>
      <c r="D28" s="186"/>
      <c r="E28" s="171"/>
      <c r="F28" s="266"/>
      <c r="G28" s="266"/>
      <c r="H28" s="201"/>
      <c r="I28" s="201"/>
      <c r="J28" s="239"/>
    </row>
    <row r="29" spans="1:10">
      <c r="A29" s="257"/>
      <c r="B29" s="1697" t="s">
        <v>750</v>
      </c>
      <c r="C29" s="1697"/>
      <c r="D29" s="1697"/>
      <c r="E29" s="171"/>
      <c r="F29" s="266"/>
      <c r="G29" s="266"/>
      <c r="H29" s="201"/>
      <c r="I29" s="201"/>
      <c r="J29" s="239"/>
    </row>
    <row r="30" spans="1:10">
      <c r="A30" s="257"/>
      <c r="B30" s="1696" t="s">
        <v>742</v>
      </c>
      <c r="C30" s="1696"/>
      <c r="D30" s="1696"/>
      <c r="E30" s="171"/>
      <c r="F30" s="259"/>
      <c r="G30" s="259"/>
      <c r="H30" s="222">
        <f>SUM(H31:H33)</f>
        <v>0</v>
      </c>
      <c r="I30" s="222">
        <f>SUM(I31:I33)</f>
        <v>0</v>
      </c>
      <c r="J30" s="239"/>
    </row>
    <row r="31" spans="1:10">
      <c r="A31" s="216"/>
      <c r="B31" s="260"/>
      <c r="C31" s="1612" t="s">
        <v>743</v>
      </c>
      <c r="D31" s="1612"/>
      <c r="E31" s="171"/>
      <c r="F31" s="261"/>
      <c r="G31" s="261"/>
      <c r="H31" s="262">
        <v>0</v>
      </c>
      <c r="I31" s="262">
        <v>0</v>
      </c>
      <c r="J31" s="246"/>
    </row>
    <row r="32" spans="1:10">
      <c r="A32" s="216"/>
      <c r="B32" s="156"/>
      <c r="C32" s="1612" t="s">
        <v>744</v>
      </c>
      <c r="D32" s="1612"/>
      <c r="E32" s="156"/>
      <c r="F32" s="270"/>
      <c r="G32" s="270"/>
      <c r="H32" s="262">
        <v>0</v>
      </c>
      <c r="I32" s="262">
        <v>0</v>
      </c>
      <c r="J32" s="246"/>
    </row>
    <row r="33" spans="1:10">
      <c r="A33" s="216"/>
      <c r="B33" s="156"/>
      <c r="C33" s="1612" t="s">
        <v>745</v>
      </c>
      <c r="D33" s="1612"/>
      <c r="E33" s="156"/>
      <c r="F33" s="270"/>
      <c r="G33" s="270"/>
      <c r="H33" s="262">
        <v>0</v>
      </c>
      <c r="I33" s="262">
        <v>0</v>
      </c>
      <c r="J33" s="246"/>
    </row>
    <row r="34" spans="1:10" ht="9.9499999999999993" customHeight="1">
      <c r="A34" s="216"/>
      <c r="B34" s="260"/>
      <c r="C34" s="260"/>
      <c r="D34" s="170"/>
      <c r="E34" s="171"/>
      <c r="F34" s="266"/>
      <c r="G34" s="266"/>
      <c r="H34" s="201"/>
      <c r="I34" s="201"/>
      <c r="J34" s="246"/>
    </row>
    <row r="35" spans="1:10">
      <c r="A35" s="257"/>
      <c r="B35" s="1696" t="s">
        <v>746</v>
      </c>
      <c r="C35" s="1696"/>
      <c r="D35" s="1696"/>
      <c r="E35" s="171"/>
      <c r="F35" s="259"/>
      <c r="G35" s="259"/>
      <c r="H35" s="222">
        <f>SUM(H36:H39)</f>
        <v>0</v>
      </c>
      <c r="I35" s="222">
        <f>SUM(I36:I39)</f>
        <v>0</v>
      </c>
      <c r="J35" s="239"/>
    </row>
    <row r="36" spans="1:10">
      <c r="A36" s="216"/>
      <c r="B36" s="260"/>
      <c r="C36" s="1612" t="s">
        <v>747</v>
      </c>
      <c r="D36" s="1612"/>
      <c r="E36" s="171"/>
      <c r="F36" s="261"/>
      <c r="G36" s="261"/>
      <c r="H36" s="262">
        <v>0</v>
      </c>
      <c r="I36" s="262">
        <v>0</v>
      </c>
      <c r="J36" s="246"/>
    </row>
    <row r="37" spans="1:10">
      <c r="A37" s="216"/>
      <c r="B37" s="260"/>
      <c r="C37" s="1612" t="s">
        <v>748</v>
      </c>
      <c r="D37" s="1612"/>
      <c r="E37" s="171"/>
      <c r="F37" s="261"/>
      <c r="G37" s="261"/>
      <c r="H37" s="262">
        <v>0</v>
      </c>
      <c r="I37" s="262">
        <v>0</v>
      </c>
      <c r="J37" s="246"/>
    </row>
    <row r="38" spans="1:10">
      <c r="A38" s="216"/>
      <c r="B38" s="260"/>
      <c r="C38" s="1612" t="s">
        <v>744</v>
      </c>
      <c r="D38" s="1612"/>
      <c r="E38" s="171"/>
      <c r="F38" s="261"/>
      <c r="G38" s="261"/>
      <c r="H38" s="262">
        <v>0</v>
      </c>
      <c r="I38" s="262">
        <v>0</v>
      </c>
      <c r="J38" s="246"/>
    </row>
    <row r="39" spans="1:10">
      <c r="A39" s="216"/>
      <c r="B39" s="171"/>
      <c r="C39" s="1612" t="s">
        <v>745</v>
      </c>
      <c r="D39" s="1612"/>
      <c r="E39" s="171"/>
      <c r="F39" s="261"/>
      <c r="G39" s="261"/>
      <c r="H39" s="262">
        <v>0</v>
      </c>
      <c r="I39" s="262">
        <v>0</v>
      </c>
      <c r="J39" s="246"/>
    </row>
    <row r="40" spans="1:10" ht="9.9499999999999993" customHeight="1">
      <c r="A40" s="216"/>
      <c r="B40" s="171"/>
      <c r="C40" s="171"/>
      <c r="D40" s="170"/>
      <c r="E40" s="171"/>
      <c r="F40" s="266"/>
      <c r="G40" s="266"/>
      <c r="H40" s="201"/>
      <c r="I40" s="201"/>
      <c r="J40" s="246"/>
    </row>
    <row r="41" spans="1:10">
      <c r="A41" s="267"/>
      <c r="B41" s="1695" t="s">
        <v>751</v>
      </c>
      <c r="C41" s="1695"/>
      <c r="D41" s="1695"/>
      <c r="E41" s="176"/>
      <c r="F41" s="271"/>
      <c r="G41" s="271"/>
      <c r="H41" s="269">
        <f>+H30+H35</f>
        <v>0</v>
      </c>
      <c r="I41" s="269">
        <f>+I30+I35</f>
        <v>0</v>
      </c>
      <c r="J41" s="243"/>
    </row>
    <row r="42" spans="1:10">
      <c r="A42" s="216"/>
      <c r="B42" s="260"/>
      <c r="C42" s="260"/>
      <c r="D42" s="170"/>
      <c r="E42" s="171"/>
      <c r="F42" s="266"/>
      <c r="G42" s="266"/>
      <c r="H42" s="201"/>
      <c r="I42" s="201"/>
      <c r="J42" s="246"/>
    </row>
    <row r="43" spans="1:10">
      <c r="A43" s="216"/>
      <c r="B43" s="1696" t="s">
        <v>752</v>
      </c>
      <c r="C43" s="1696"/>
      <c r="D43" s="1696"/>
      <c r="E43" s="171"/>
      <c r="F43" s="261"/>
      <c r="G43" s="261"/>
      <c r="H43" s="272">
        <f>+ESF!J22</f>
        <v>3300252.38</v>
      </c>
      <c r="I43" s="272">
        <f>+ESF!I22</f>
        <v>2718106.92</v>
      </c>
      <c r="J43" s="246"/>
    </row>
    <row r="44" spans="1:10">
      <c r="A44" s="216"/>
      <c r="B44" s="260"/>
      <c r="C44" s="260"/>
      <c r="D44" s="170"/>
      <c r="E44" s="171"/>
      <c r="F44" s="266"/>
      <c r="G44" s="266"/>
      <c r="H44" s="201"/>
      <c r="I44" s="201"/>
      <c r="J44" s="246"/>
    </row>
    <row r="45" spans="1:10">
      <c r="A45" s="273"/>
      <c r="B45" s="1698" t="s">
        <v>753</v>
      </c>
      <c r="C45" s="1698"/>
      <c r="D45" s="1698"/>
      <c r="E45" s="274"/>
      <c r="F45" s="275"/>
      <c r="G45" s="275"/>
      <c r="H45" s="276">
        <f>H27+H41+H43</f>
        <v>3300252.38</v>
      </c>
      <c r="I45" s="276">
        <f>I27+I41+I43</f>
        <v>2718106.92</v>
      </c>
      <c r="J45" s="277"/>
    </row>
    <row r="46" spans="1:10" ht="6" customHeight="1">
      <c r="B46" s="1697"/>
      <c r="C46" s="1697"/>
      <c r="D46" s="1697"/>
      <c r="E46" s="1697"/>
      <c r="F46" s="1697"/>
      <c r="G46" s="1697"/>
      <c r="H46" s="1697"/>
      <c r="I46" s="1697"/>
      <c r="J46" s="1697"/>
    </row>
    <row r="47" spans="1:10" ht="6" customHeight="1">
      <c r="B47" s="278"/>
      <c r="C47" s="278"/>
      <c r="D47" s="279"/>
      <c r="E47" s="193"/>
      <c r="F47" s="279"/>
      <c r="G47" s="193"/>
      <c r="H47" s="193"/>
      <c r="I47" s="193"/>
    </row>
    <row r="48" spans="1:10" ht="15" customHeight="1">
      <c r="B48" s="1612" t="s">
        <v>664</v>
      </c>
      <c r="C48" s="1612"/>
      <c r="D48" s="1612"/>
      <c r="E48" s="1612"/>
      <c r="F48" s="1612"/>
      <c r="G48" s="1612"/>
      <c r="H48" s="1612"/>
      <c r="I48" s="1612"/>
      <c r="J48" s="1612"/>
    </row>
    <row r="49" spans="2:10" ht="28.5" customHeight="1">
      <c r="B49" s="170"/>
      <c r="C49" s="193"/>
      <c r="D49" s="194"/>
      <c r="E49" s="194"/>
      <c r="G49" s="195"/>
      <c r="H49" s="280"/>
      <c r="I49" s="280"/>
      <c r="J49" s="194"/>
    </row>
    <row r="50" spans="2:10" ht="25.5" customHeight="1">
      <c r="B50" s="170"/>
      <c r="C50" s="1613"/>
      <c r="D50" s="1613"/>
      <c r="E50" s="194"/>
      <c r="G50" s="1614"/>
      <c r="H50" s="1614"/>
      <c r="I50" s="194"/>
      <c r="J50" s="194"/>
    </row>
    <row r="51" spans="2:10" ht="14.1" customHeight="1">
      <c r="B51" s="201"/>
      <c r="C51" s="1615" t="s">
        <v>2867</v>
      </c>
      <c r="D51" s="1615"/>
      <c r="E51" s="194"/>
      <c r="F51" s="194"/>
      <c r="G51" s="1615" t="s">
        <v>754</v>
      </c>
      <c r="H51" s="1615"/>
      <c r="I51" s="171"/>
      <c r="J51" s="194"/>
    </row>
    <row r="52" spans="2:10" ht="14.1" customHeight="1">
      <c r="B52" s="203"/>
      <c r="C52" s="1610" t="s">
        <v>1765</v>
      </c>
      <c r="D52" s="1610"/>
      <c r="E52" s="204"/>
      <c r="F52" s="204"/>
      <c r="G52" s="1610" t="s">
        <v>666</v>
      </c>
      <c r="H52" s="1610"/>
      <c r="I52" s="171"/>
      <c r="J52" s="194"/>
    </row>
  </sheetData>
  <sheetProtection selectLockedCells="1"/>
  <mergeCells count="44"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13:J13"/>
    <mergeCell ref="C4:H4"/>
    <mergeCell ref="C5:H5"/>
    <mergeCell ref="C6:H6"/>
    <mergeCell ref="C7:H7"/>
    <mergeCell ref="B8:C8"/>
    <mergeCell ref="D8:I8"/>
    <mergeCell ref="B9:J9"/>
    <mergeCell ref="B10:J10"/>
    <mergeCell ref="B11:D11"/>
    <mergeCell ref="B12:J12"/>
  </mergeCells>
  <printOptions verticalCentered="1"/>
  <pageMargins left="0.55000000000000004" right="0" top="0.68" bottom="0.59055118110236227" header="0" footer="0"/>
  <pageSetup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AC73-C1CB-4621-8DCF-BBA25CDA6112}">
  <sheetPr>
    <pageSetUpPr fitToPage="1"/>
  </sheetPr>
  <dimension ref="A2:F37"/>
  <sheetViews>
    <sheetView topLeftCell="A25" workbookViewId="0">
      <selection activeCell="I41" sqref="I41"/>
    </sheetView>
  </sheetViews>
  <sheetFormatPr baseColWidth="10" defaultColWidth="11.42578125" defaultRowHeight="15"/>
  <cols>
    <col min="1" max="1" width="2.7109375" style="857" customWidth="1"/>
    <col min="2" max="2" width="39.7109375" style="857" customWidth="1"/>
    <col min="3" max="3" width="23.85546875" style="857" customWidth="1"/>
    <col min="4" max="6" width="18.7109375" style="857" customWidth="1"/>
    <col min="7" max="7" width="3.85546875" style="857" customWidth="1"/>
    <col min="8" max="16384" width="11.42578125" style="857"/>
  </cols>
  <sheetData>
    <row r="2" spans="1:6">
      <c r="B2" s="1699" t="str">
        <f>+'1 ea sif'!$B$2:$F$2</f>
        <v>PROMOTORA PARA EL DESARROLLO ECONÓMICO DE CHIHUAHUA</v>
      </c>
      <c r="C2" s="1700"/>
      <c r="D2" s="1700"/>
      <c r="E2" s="1700"/>
      <c r="F2" s="1701"/>
    </row>
    <row r="3" spans="1:6">
      <c r="B3" s="1702" t="s">
        <v>734</v>
      </c>
      <c r="C3" s="1703"/>
      <c r="D3" s="1703"/>
      <c r="E3" s="1703"/>
      <c r="F3" s="1704"/>
    </row>
    <row r="4" spans="1:6">
      <c r="B4" s="1705"/>
      <c r="C4" s="1706"/>
      <c r="D4" s="1706"/>
      <c r="E4" s="1706"/>
      <c r="F4" s="1707"/>
    </row>
    <row r="5" spans="1:6" ht="24">
      <c r="B5" s="968" t="s">
        <v>735</v>
      </c>
      <c r="C5" s="968" t="s">
        <v>4771</v>
      </c>
      <c r="D5" s="860" t="s">
        <v>4772</v>
      </c>
      <c r="E5" s="861" t="s">
        <v>738</v>
      </c>
      <c r="F5" s="861" t="s">
        <v>739</v>
      </c>
    </row>
    <row r="6" spans="1:6">
      <c r="B6" s="969" t="s">
        <v>740</v>
      </c>
      <c r="C6" s="970"/>
      <c r="D6" s="971"/>
      <c r="E6" s="972"/>
      <c r="F6" s="972"/>
    </row>
    <row r="7" spans="1:6">
      <c r="B7" s="973" t="s">
        <v>4773</v>
      </c>
      <c r="C7" s="974"/>
      <c r="D7" s="974"/>
      <c r="E7" s="972"/>
      <c r="F7" s="972"/>
    </row>
    <row r="8" spans="1:6">
      <c r="A8" s="975" t="s">
        <v>4774</v>
      </c>
      <c r="B8" s="976" t="s">
        <v>742</v>
      </c>
      <c r="C8" s="977"/>
      <c r="D8" s="977"/>
      <c r="E8" s="978">
        <f>SUM(E9:E11)</f>
        <v>0</v>
      </c>
      <c r="F8" s="978">
        <f>SUM(F9:F11)</f>
        <v>0</v>
      </c>
    </row>
    <row r="9" spans="1:6">
      <c r="A9" s="979"/>
      <c r="B9" s="980" t="s">
        <v>743</v>
      </c>
      <c r="C9" s="981"/>
      <c r="D9" s="981"/>
      <c r="E9" s="982">
        <v>0</v>
      </c>
      <c r="F9" s="982">
        <v>0</v>
      </c>
    </row>
    <row r="10" spans="1:6">
      <c r="B10" s="980" t="s">
        <v>744</v>
      </c>
      <c r="C10" s="981"/>
      <c r="D10" s="981"/>
      <c r="E10" s="982">
        <v>0</v>
      </c>
      <c r="F10" s="982">
        <v>0</v>
      </c>
    </row>
    <row r="11" spans="1:6">
      <c r="B11" s="980" t="s">
        <v>745</v>
      </c>
      <c r="C11" s="981"/>
      <c r="D11" s="981"/>
      <c r="E11" s="982">
        <v>0</v>
      </c>
      <c r="F11" s="982">
        <v>0</v>
      </c>
    </row>
    <row r="12" spans="1:6">
      <c r="B12" s="980"/>
      <c r="C12" s="981"/>
      <c r="D12" s="981"/>
      <c r="E12" s="982"/>
      <c r="F12" s="982"/>
    </row>
    <row r="13" spans="1:6">
      <c r="B13" s="976" t="s">
        <v>746</v>
      </c>
      <c r="C13" s="977"/>
      <c r="D13" s="977"/>
      <c r="E13" s="978">
        <f>SUM(E14:E17)</f>
        <v>0</v>
      </c>
      <c r="F13" s="978">
        <f>SUM(F14:F17)</f>
        <v>0</v>
      </c>
    </row>
    <row r="14" spans="1:6">
      <c r="B14" s="980" t="s">
        <v>747</v>
      </c>
      <c r="C14" s="977"/>
      <c r="D14" s="977"/>
      <c r="E14" s="983">
        <v>0</v>
      </c>
      <c r="F14" s="983">
        <v>0</v>
      </c>
    </row>
    <row r="15" spans="1:6">
      <c r="B15" s="980" t="s">
        <v>748</v>
      </c>
      <c r="C15" s="981"/>
      <c r="D15" s="981"/>
      <c r="E15" s="982">
        <v>0</v>
      </c>
      <c r="F15" s="982">
        <v>0</v>
      </c>
    </row>
    <row r="16" spans="1:6">
      <c r="B16" s="980" t="s">
        <v>744</v>
      </c>
      <c r="C16" s="981"/>
      <c r="D16" s="981"/>
      <c r="E16" s="982">
        <v>0</v>
      </c>
      <c r="F16" s="982">
        <v>0</v>
      </c>
    </row>
    <row r="17" spans="2:6">
      <c r="B17" s="980" t="s">
        <v>745</v>
      </c>
      <c r="C17" s="981"/>
      <c r="D17" s="981"/>
      <c r="E17" s="982">
        <v>0</v>
      </c>
      <c r="F17" s="982">
        <v>0</v>
      </c>
    </row>
    <row r="18" spans="2:6">
      <c r="B18" s="980"/>
      <c r="C18" s="981"/>
      <c r="D18" s="981"/>
      <c r="E18" s="982"/>
      <c r="F18" s="982"/>
    </row>
    <row r="19" spans="2:6">
      <c r="B19" s="984" t="s">
        <v>4775</v>
      </c>
      <c r="C19" s="981"/>
      <c r="D19" s="981"/>
      <c r="E19" s="985">
        <f>SUM(E8,E13)</f>
        <v>0</v>
      </c>
      <c r="F19" s="985">
        <f>SUM(F8,F13)</f>
        <v>0</v>
      </c>
    </row>
    <row r="20" spans="2:6">
      <c r="B20" s="973" t="s">
        <v>4776</v>
      </c>
      <c r="C20" s="986"/>
      <c r="D20" s="986"/>
      <c r="E20" s="978"/>
      <c r="F20" s="978"/>
    </row>
    <row r="21" spans="2:6">
      <c r="B21" s="976" t="s">
        <v>742</v>
      </c>
      <c r="C21" s="981"/>
      <c r="D21" s="981"/>
      <c r="E21" s="978">
        <f>SUM(E22:E24)</f>
        <v>0</v>
      </c>
      <c r="F21" s="978">
        <f>SUM(F22:F24)</f>
        <v>0</v>
      </c>
    </row>
    <row r="22" spans="2:6">
      <c r="B22" s="980" t="s">
        <v>743</v>
      </c>
      <c r="C22" s="981"/>
      <c r="D22" s="981"/>
      <c r="E22" s="982">
        <v>0</v>
      </c>
      <c r="F22" s="982">
        <v>0</v>
      </c>
    </row>
    <row r="23" spans="2:6">
      <c r="B23" s="980" t="s">
        <v>744</v>
      </c>
      <c r="C23" s="981"/>
      <c r="D23" s="981"/>
      <c r="E23" s="982">
        <v>0</v>
      </c>
      <c r="F23" s="982">
        <v>0</v>
      </c>
    </row>
    <row r="24" spans="2:6">
      <c r="B24" s="980" t="s">
        <v>745</v>
      </c>
      <c r="C24" s="981"/>
      <c r="D24" s="981"/>
      <c r="E24" s="982">
        <v>0</v>
      </c>
      <c r="F24" s="982">
        <v>0</v>
      </c>
    </row>
    <row r="25" spans="2:6">
      <c r="B25" s="980"/>
      <c r="C25" s="981"/>
      <c r="D25" s="981"/>
      <c r="E25" s="982"/>
      <c r="F25" s="982"/>
    </row>
    <row r="26" spans="2:6">
      <c r="B26" s="976" t="s">
        <v>746</v>
      </c>
      <c r="C26" s="977"/>
      <c r="D26" s="977"/>
      <c r="E26" s="978">
        <f>SUM(E27:E30)</f>
        <v>0</v>
      </c>
      <c r="F26" s="978">
        <f>SUM(F27:F30)</f>
        <v>0</v>
      </c>
    </row>
    <row r="27" spans="2:6">
      <c r="B27" s="980" t="s">
        <v>747</v>
      </c>
      <c r="C27" s="977"/>
      <c r="D27" s="977"/>
      <c r="E27" s="983">
        <v>0</v>
      </c>
      <c r="F27" s="983">
        <v>0</v>
      </c>
    </row>
    <row r="28" spans="2:6">
      <c r="B28" s="980" t="s">
        <v>748</v>
      </c>
      <c r="C28" s="981"/>
      <c r="D28" s="981"/>
      <c r="E28" s="982">
        <v>0</v>
      </c>
      <c r="F28" s="982">
        <v>0</v>
      </c>
    </row>
    <row r="29" spans="2:6">
      <c r="B29" s="980" t="s">
        <v>744</v>
      </c>
      <c r="C29" s="981"/>
      <c r="D29" s="981"/>
      <c r="E29" s="982">
        <v>0</v>
      </c>
      <c r="F29" s="982">
        <v>0</v>
      </c>
    </row>
    <row r="30" spans="2:6">
      <c r="B30" s="980" t="s">
        <v>745</v>
      </c>
      <c r="C30" s="981"/>
      <c r="D30" s="981"/>
      <c r="E30" s="982">
        <v>0</v>
      </c>
      <c r="F30" s="982">
        <v>0</v>
      </c>
    </row>
    <row r="31" spans="2:6">
      <c r="B31" s="980"/>
      <c r="C31" s="981"/>
      <c r="D31" s="981"/>
      <c r="E31" s="982"/>
      <c r="F31" s="982"/>
    </row>
    <row r="32" spans="2:6">
      <c r="B32" s="984" t="s">
        <v>4777</v>
      </c>
      <c r="C32" s="981"/>
      <c r="D32" s="981"/>
      <c r="E32" s="985">
        <f>SUM(E21,E26)</f>
        <v>0</v>
      </c>
      <c r="F32" s="985">
        <f>SUM(F21,F26)</f>
        <v>0</v>
      </c>
    </row>
    <row r="33" spans="2:6">
      <c r="B33" s="987"/>
      <c r="C33" s="986"/>
      <c r="D33" s="986"/>
      <c r="E33" s="978"/>
      <c r="F33" s="978"/>
    </row>
    <row r="34" spans="2:6">
      <c r="B34" s="976" t="s">
        <v>752</v>
      </c>
      <c r="C34" s="981"/>
      <c r="D34" s="981"/>
      <c r="E34" s="988">
        <f>+EADP!H43</f>
        <v>3300252.38</v>
      </c>
      <c r="F34" s="988">
        <f>+EADP!I43</f>
        <v>2718106.92</v>
      </c>
    </row>
    <row r="35" spans="2:6">
      <c r="B35" s="989"/>
      <c r="C35" s="990"/>
      <c r="D35" s="990"/>
      <c r="E35" s="983"/>
      <c r="F35" s="983"/>
    </row>
    <row r="36" spans="2:6">
      <c r="B36" s="987" t="s">
        <v>4778</v>
      </c>
      <c r="C36" s="991"/>
      <c r="D36" s="991"/>
      <c r="E36" s="992">
        <f>SUM(E19,E32,E34)</f>
        <v>3300252.38</v>
      </c>
      <c r="F36" s="992">
        <f>SUM(F19,F32,F34)</f>
        <v>2718106.92</v>
      </c>
    </row>
    <row r="37" spans="2:6">
      <c r="B37" s="993"/>
      <c r="C37" s="994"/>
      <c r="D37" s="994"/>
      <c r="E37" s="995"/>
      <c r="F37" s="995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K57"/>
  <sheetViews>
    <sheetView topLeftCell="A31" zoomScaleNormal="100" workbookViewId="0">
      <selection activeCell="H37" activeCellId="1" sqref="H30 H37"/>
    </sheetView>
  </sheetViews>
  <sheetFormatPr baseColWidth="10" defaultRowHeight="12"/>
  <cols>
    <col min="1" max="1" width="3.7109375" style="193" customWidth="1"/>
    <col min="2" max="2" width="17.140625" style="231" customWidth="1"/>
    <col min="3" max="3" width="57.85546875" style="231" customWidth="1"/>
    <col min="4" max="6" width="18.7109375" style="296" customWidth="1"/>
    <col min="7" max="7" width="17.140625" style="296" customWidth="1"/>
    <col min="8" max="8" width="16.140625" style="296" customWidth="1"/>
    <col min="9" max="9" width="3.28515625" style="193" customWidth="1"/>
    <col min="10" max="16384" width="11.42578125" style="157"/>
  </cols>
  <sheetData>
    <row r="1" spans="1:9" ht="6" customHeight="1">
      <c r="A1" s="153"/>
      <c r="B1" s="154"/>
      <c r="C1" s="153"/>
      <c r="D1" s="1715"/>
      <c r="E1" s="1715"/>
      <c r="F1" s="1713"/>
      <c r="G1" s="1713"/>
      <c r="H1" s="1713"/>
      <c r="I1" s="1713"/>
    </row>
    <row r="2" spans="1:9" ht="6" customHeight="1">
      <c r="A2" s="157"/>
      <c r="B2" s="156"/>
      <c r="C2" s="157"/>
      <c r="D2" s="157"/>
      <c r="E2" s="157"/>
      <c r="F2" s="157"/>
      <c r="G2" s="157"/>
      <c r="H2" s="157"/>
      <c r="I2" s="157"/>
    </row>
    <row r="3" spans="1:9" ht="14.1" customHeight="1">
      <c r="A3" s="157"/>
      <c r="B3" s="159"/>
      <c r="C3" s="1639" t="s">
        <v>2987</v>
      </c>
      <c r="D3" s="1639"/>
      <c r="E3" s="1639"/>
      <c r="F3" s="1639"/>
      <c r="G3" s="1639"/>
      <c r="H3" s="159"/>
      <c r="I3" s="159"/>
    </row>
    <row r="4" spans="1:9" ht="14.1" customHeight="1">
      <c r="B4" s="451"/>
      <c r="C4" s="1639" t="s">
        <v>755</v>
      </c>
      <c r="D4" s="1639"/>
      <c r="E4" s="1639"/>
      <c r="F4" s="1639"/>
      <c r="G4" s="1639"/>
      <c r="H4" s="516"/>
      <c r="I4" s="159"/>
    </row>
    <row r="5" spans="1:9" ht="14.1" customHeight="1">
      <c r="B5" s="159"/>
      <c r="C5" s="1639" t="str">
        <f>+EA!C3</f>
        <v>Del 1 de enero al 31 de diciembre de 2021</v>
      </c>
      <c r="D5" s="1639"/>
      <c r="E5" s="1639"/>
      <c r="F5" s="1639"/>
      <c r="G5" s="1639"/>
      <c r="H5" s="159"/>
      <c r="I5" s="159"/>
    </row>
    <row r="6" spans="1:9" ht="14.1" customHeight="1">
      <c r="B6" s="159"/>
      <c r="C6" s="1639"/>
      <c r="D6" s="1639"/>
      <c r="E6" s="1639"/>
      <c r="F6" s="1639"/>
      <c r="G6" s="1639"/>
      <c r="H6" s="159"/>
      <c r="I6" s="159"/>
    </row>
    <row r="7" spans="1:9" ht="3" customHeight="1">
      <c r="A7" s="161"/>
      <c r="B7" s="162"/>
      <c r="C7" s="1714"/>
      <c r="D7" s="1714"/>
      <c r="E7" s="1714"/>
      <c r="F7" s="1714"/>
      <c r="G7" s="1714"/>
      <c r="H7" s="1714"/>
      <c r="I7" s="1714"/>
    </row>
    <row r="8" spans="1:9" ht="3" customHeight="1">
      <c r="A8" s="161"/>
      <c r="B8" s="161"/>
      <c r="C8" s="161" t="s">
        <v>732</v>
      </c>
      <c r="D8" s="161"/>
      <c r="E8" s="161"/>
      <c r="F8" s="161"/>
      <c r="G8" s="161"/>
      <c r="H8" s="161"/>
      <c r="I8" s="161"/>
    </row>
    <row r="9" spans="1:9" ht="3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60">
      <c r="A10" s="646"/>
      <c r="B10" s="1603" t="s">
        <v>230</v>
      </c>
      <c r="C10" s="1603"/>
      <c r="D10" s="647" t="s">
        <v>709</v>
      </c>
      <c r="E10" s="647" t="s">
        <v>756</v>
      </c>
      <c r="F10" s="647" t="s">
        <v>757</v>
      </c>
      <c r="G10" s="647" t="s">
        <v>723</v>
      </c>
      <c r="H10" s="647" t="s">
        <v>98</v>
      </c>
      <c r="I10" s="648"/>
    </row>
    <row r="11" spans="1:9" ht="3" customHeight="1">
      <c r="A11" s="254"/>
      <c r="B11" s="161"/>
      <c r="C11" s="161"/>
      <c r="D11" s="161"/>
      <c r="E11" s="161"/>
      <c r="F11" s="161"/>
      <c r="G11" s="161"/>
      <c r="H11" s="161"/>
      <c r="I11" s="281"/>
    </row>
    <row r="12" spans="1:9" ht="3" customHeight="1">
      <c r="A12" s="168"/>
      <c r="B12" s="282"/>
      <c r="C12" s="172"/>
      <c r="D12" s="171"/>
      <c r="E12" s="169"/>
      <c r="F12" s="170"/>
      <c r="G12" s="156"/>
      <c r="H12" s="282"/>
      <c r="I12" s="283"/>
    </row>
    <row r="13" spans="1:9" ht="9.9499999999999993" customHeight="1">
      <c r="A13" s="181"/>
      <c r="B13" s="285"/>
      <c r="C13" s="171"/>
      <c r="D13" s="286"/>
      <c r="E13" s="286"/>
      <c r="F13" s="286"/>
      <c r="G13" s="286"/>
      <c r="H13" s="286"/>
      <c r="I13" s="283"/>
    </row>
    <row r="14" spans="1:9">
      <c r="A14" s="181"/>
      <c r="B14" s="1709" t="s">
        <v>5634</v>
      </c>
      <c r="C14" s="1709"/>
      <c r="D14" s="287">
        <f>SUM(D15:D17)</f>
        <v>278482908.89999998</v>
      </c>
      <c r="E14" s="287">
        <f>SUM(E15:E17)</f>
        <v>0</v>
      </c>
      <c r="F14" s="287">
        <f>SUM(F15:F17)</f>
        <v>0</v>
      </c>
      <c r="G14" s="287">
        <f>SUM(G15:G17)</f>
        <v>0</v>
      </c>
      <c r="H14" s="287">
        <f>SUM(D14:G14)</f>
        <v>278482908.89999998</v>
      </c>
      <c r="I14" s="283"/>
    </row>
    <row r="15" spans="1:9">
      <c r="A15" s="168"/>
      <c r="B15" s="1605" t="s">
        <v>758</v>
      </c>
      <c r="C15" s="1605"/>
      <c r="D15" s="288">
        <f>+ESF!J29</f>
        <v>10952891.960000001</v>
      </c>
      <c r="E15" s="288">
        <v>0</v>
      </c>
      <c r="F15" s="288">
        <v>0</v>
      </c>
      <c r="G15" s="288">
        <v>0</v>
      </c>
      <c r="H15" s="286">
        <f t="shared" ref="H15:H23" si="0">SUM(D15:G15)</f>
        <v>10952891.960000001</v>
      </c>
      <c r="I15" s="283"/>
    </row>
    <row r="16" spans="1:9">
      <c r="A16" s="168"/>
      <c r="B16" s="1605" t="s">
        <v>710</v>
      </c>
      <c r="C16" s="1605"/>
      <c r="D16" s="288">
        <v>0</v>
      </c>
      <c r="E16" s="288">
        <v>0</v>
      </c>
      <c r="F16" s="288">
        <v>0</v>
      </c>
      <c r="G16" s="288">
        <v>0</v>
      </c>
      <c r="H16" s="286">
        <f t="shared" si="0"/>
        <v>0</v>
      </c>
      <c r="I16" s="283"/>
    </row>
    <row r="17" spans="1:11">
      <c r="A17" s="168"/>
      <c r="B17" s="1605" t="s">
        <v>759</v>
      </c>
      <c r="C17" s="1605"/>
      <c r="D17" s="288">
        <f>+ESF!J30</f>
        <v>267530016.94</v>
      </c>
      <c r="E17" s="288">
        <v>0</v>
      </c>
      <c r="F17" s="288">
        <v>0</v>
      </c>
      <c r="G17" s="288">
        <v>0</v>
      </c>
      <c r="H17" s="286">
        <f t="shared" si="0"/>
        <v>267530016.94</v>
      </c>
      <c r="I17" s="283"/>
    </row>
    <row r="18" spans="1:11" ht="9.9499999999999993" customHeight="1">
      <c r="A18" s="181"/>
      <c r="B18" s="285"/>
      <c r="C18" s="171"/>
      <c r="D18" s="286"/>
      <c r="E18" s="286"/>
      <c r="F18" s="286"/>
      <c r="G18" s="286"/>
      <c r="H18" s="286"/>
      <c r="I18" s="283"/>
    </row>
    <row r="19" spans="1:11">
      <c r="A19" s="181"/>
      <c r="B19" s="1709" t="s">
        <v>5635</v>
      </c>
      <c r="C19" s="1709"/>
      <c r="D19" s="287">
        <f>SUM(D20:D23)</f>
        <v>0</v>
      </c>
      <c r="E19" s="287">
        <f>SUM(E20:E23)</f>
        <v>772681576.45000005</v>
      </c>
      <c r="F19" s="287">
        <f>SUM(F20:F23)</f>
        <v>82707402.840000004</v>
      </c>
      <c r="G19" s="287">
        <f>SUM(G20:G23)</f>
        <v>0</v>
      </c>
      <c r="H19" s="287">
        <f t="shared" si="0"/>
        <v>855388979.29000008</v>
      </c>
      <c r="I19" s="283"/>
    </row>
    <row r="20" spans="1:11">
      <c r="A20" s="168"/>
      <c r="B20" s="1605" t="s">
        <v>761</v>
      </c>
      <c r="C20" s="1605"/>
      <c r="D20" s="288">
        <v>0</v>
      </c>
      <c r="E20" s="288">
        <v>0</v>
      </c>
      <c r="F20" s="288">
        <f>+ESF!J34</f>
        <v>82707402.840000004</v>
      </c>
      <c r="G20" s="288">
        <v>0</v>
      </c>
      <c r="H20" s="286">
        <f t="shared" si="0"/>
        <v>82707402.840000004</v>
      </c>
      <c r="I20" s="283"/>
    </row>
    <row r="21" spans="1:11">
      <c r="A21" s="168"/>
      <c r="B21" s="1605" t="s">
        <v>714</v>
      </c>
      <c r="C21" s="1605"/>
      <c r="D21" s="288">
        <v>0</v>
      </c>
      <c r="E21" s="288">
        <f>+ESF!J35</f>
        <v>772681576.45000005</v>
      </c>
      <c r="F21" s="288">
        <v>0</v>
      </c>
      <c r="G21" s="288">
        <v>0</v>
      </c>
      <c r="H21" s="286">
        <f t="shared" si="0"/>
        <v>772681576.45000005</v>
      </c>
      <c r="I21" s="283"/>
    </row>
    <row r="22" spans="1:11">
      <c r="A22" s="168"/>
      <c r="B22" s="1605" t="s">
        <v>762</v>
      </c>
      <c r="C22" s="1605"/>
      <c r="D22" s="288">
        <v>0</v>
      </c>
      <c r="E22" s="288">
        <v>0</v>
      </c>
      <c r="F22" s="288">
        <v>0</v>
      </c>
      <c r="G22" s="288"/>
      <c r="H22" s="286">
        <f t="shared" si="0"/>
        <v>0</v>
      </c>
      <c r="I22" s="283"/>
    </row>
    <row r="23" spans="1:11">
      <c r="A23" s="168"/>
      <c r="B23" s="1605" t="s">
        <v>716</v>
      </c>
      <c r="C23" s="1605"/>
      <c r="D23" s="288">
        <v>0</v>
      </c>
      <c r="E23" s="288">
        <v>0</v>
      </c>
      <c r="F23" s="288">
        <v>0</v>
      </c>
      <c r="G23" s="288">
        <v>0</v>
      </c>
      <c r="H23" s="286">
        <f t="shared" si="0"/>
        <v>0</v>
      </c>
      <c r="I23" s="283"/>
    </row>
    <row r="24" spans="1:11">
      <c r="A24" s="168"/>
      <c r="B24" s="1605" t="s">
        <v>231</v>
      </c>
      <c r="C24" s="1605"/>
      <c r="D24" s="288"/>
      <c r="E24" s="288"/>
      <c r="F24" s="288"/>
      <c r="G24" s="288"/>
      <c r="H24" s="286"/>
      <c r="I24" s="283"/>
    </row>
    <row r="25" spans="1:11">
      <c r="A25" s="168"/>
      <c r="B25" s="179"/>
      <c r="C25" s="179"/>
      <c r="D25" s="288"/>
      <c r="E25" s="288"/>
      <c r="F25" s="288"/>
      <c r="G25" s="288"/>
      <c r="H25" s="286"/>
      <c r="I25" s="283"/>
    </row>
    <row r="26" spans="1:11">
      <c r="A26" s="168"/>
      <c r="B26" s="1709" t="s">
        <v>5636</v>
      </c>
      <c r="C26" s="1709"/>
      <c r="D26" s="284">
        <f>+D27+D28</f>
        <v>0</v>
      </c>
      <c r="E26" s="284">
        <f t="shared" ref="E26:H26" si="1">+E27+E28</f>
        <v>0</v>
      </c>
      <c r="F26" s="284">
        <f t="shared" si="1"/>
        <v>0</v>
      </c>
      <c r="G26" s="284">
        <f t="shared" si="1"/>
        <v>20576226.51000002</v>
      </c>
      <c r="H26" s="284">
        <f t="shared" si="1"/>
        <v>20576226.51000002</v>
      </c>
      <c r="I26" s="283"/>
    </row>
    <row r="27" spans="1:11">
      <c r="A27" s="168"/>
      <c r="B27" s="1710" t="s">
        <v>718</v>
      </c>
      <c r="C27" s="1710"/>
      <c r="D27" s="288">
        <v>0</v>
      </c>
      <c r="E27" s="288">
        <v>0</v>
      </c>
      <c r="F27" s="288">
        <v>0</v>
      </c>
      <c r="G27" s="288">
        <f>+ESF!J39</f>
        <v>-167471499.56999999</v>
      </c>
      <c r="H27" s="286">
        <f t="shared" ref="H27:H28" si="2">SUM(D27:G27)</f>
        <v>-167471499.56999999</v>
      </c>
      <c r="I27" s="283"/>
    </row>
    <row r="28" spans="1:11">
      <c r="A28" s="168"/>
      <c r="B28" s="1710" t="s">
        <v>2985</v>
      </c>
      <c r="C28" s="1710"/>
      <c r="D28" s="288">
        <v>0</v>
      </c>
      <c r="E28" s="288">
        <v>0</v>
      </c>
      <c r="F28" s="288">
        <v>0</v>
      </c>
      <c r="G28" s="288">
        <f>+ESF!J40</f>
        <v>188047726.08000001</v>
      </c>
      <c r="H28" s="286">
        <f t="shared" si="2"/>
        <v>188047726.08000001</v>
      </c>
      <c r="I28" s="283"/>
    </row>
    <row r="29" spans="1:11" ht="9.9499999999999993" customHeight="1">
      <c r="A29" s="181"/>
      <c r="B29" s="285"/>
      <c r="C29" s="171"/>
      <c r="D29" s="286"/>
      <c r="E29" s="286"/>
      <c r="F29" s="286"/>
      <c r="G29" s="286"/>
      <c r="H29" s="286"/>
      <c r="I29" s="283"/>
    </row>
    <row r="30" spans="1:11" ht="18.75" thickBot="1">
      <c r="A30" s="181"/>
      <c r="B30" s="1708" t="s">
        <v>5637</v>
      </c>
      <c r="C30" s="1708"/>
      <c r="D30" s="289">
        <f>+D26+D19+D14</f>
        <v>278482908.89999998</v>
      </c>
      <c r="E30" s="289">
        <f t="shared" ref="E30:G30" si="3">+E26+E19+E14</f>
        <v>772681576.45000005</v>
      </c>
      <c r="F30" s="289">
        <f t="shared" si="3"/>
        <v>82707402.840000004</v>
      </c>
      <c r="G30" s="289">
        <f t="shared" si="3"/>
        <v>20576226.51000002</v>
      </c>
      <c r="H30" s="289">
        <f>+H26+H19+H14</f>
        <v>1154448114.7</v>
      </c>
      <c r="I30" s="283"/>
      <c r="K30" s="290"/>
    </row>
    <row r="31" spans="1:11">
      <c r="A31" s="168"/>
      <c r="B31" s="171"/>
      <c r="C31" s="170"/>
      <c r="D31" s="286"/>
      <c r="E31" s="286"/>
      <c r="F31" s="286"/>
      <c r="G31" s="286"/>
      <c r="H31" s="286"/>
      <c r="I31" s="283"/>
    </row>
    <row r="32" spans="1:11">
      <c r="A32" s="181"/>
      <c r="B32" s="1709" t="s">
        <v>5638</v>
      </c>
      <c r="C32" s="1709"/>
      <c r="D32" s="287">
        <f>SUM(D33:D35)</f>
        <v>0</v>
      </c>
      <c r="E32" s="287">
        <f>SUM(E33:E35)</f>
        <v>0</v>
      </c>
      <c r="F32" s="287">
        <f>SUM(F33:F35)</f>
        <v>0</v>
      </c>
      <c r="G32" s="287">
        <f>SUM(G33:G35)</f>
        <v>0</v>
      </c>
      <c r="H32" s="287">
        <f>SUM(D32:G32)</f>
        <v>0</v>
      </c>
      <c r="I32" s="283"/>
    </row>
    <row r="33" spans="1:9">
      <c r="A33" s="168"/>
      <c r="B33" s="1605" t="s">
        <v>643</v>
      </c>
      <c r="C33" s="1605"/>
      <c r="D33" s="288">
        <v>0</v>
      </c>
      <c r="E33" s="288">
        <v>0</v>
      </c>
      <c r="F33" s="288">
        <v>0</v>
      </c>
      <c r="G33" s="288">
        <v>0</v>
      </c>
      <c r="H33" s="286">
        <f>SUM(D33:G33)</f>
        <v>0</v>
      </c>
      <c r="I33" s="283"/>
    </row>
    <row r="34" spans="1:9">
      <c r="A34" s="168"/>
      <c r="B34" s="1605" t="s">
        <v>710</v>
      </c>
      <c r="C34" s="1605"/>
      <c r="D34" s="288">
        <v>0</v>
      </c>
      <c r="E34" s="288">
        <v>0</v>
      </c>
      <c r="F34" s="288">
        <v>0</v>
      </c>
      <c r="G34" s="288">
        <v>0</v>
      </c>
      <c r="H34" s="286">
        <f>SUM(D34:G34)</f>
        <v>0</v>
      </c>
      <c r="I34" s="283"/>
    </row>
    <row r="35" spans="1:9">
      <c r="A35" s="168"/>
      <c r="B35" s="1605" t="s">
        <v>759</v>
      </c>
      <c r="C35" s="1605"/>
      <c r="D35" s="288">
        <v>0</v>
      </c>
      <c r="E35" s="288">
        <v>0</v>
      </c>
      <c r="F35" s="288">
        <v>0</v>
      </c>
      <c r="G35" s="288">
        <v>0</v>
      </c>
      <c r="H35" s="286">
        <f>SUM(D35:G35)</f>
        <v>0</v>
      </c>
      <c r="I35" s="283"/>
    </row>
    <row r="36" spans="1:9" ht="9.9499999999999993" customHeight="1">
      <c r="A36" s="181"/>
      <c r="B36" s="285"/>
      <c r="C36" s="171"/>
      <c r="D36" s="286"/>
      <c r="E36" s="286"/>
      <c r="F36" s="286"/>
      <c r="G36" s="286"/>
      <c r="H36" s="286"/>
      <c r="I36" s="283"/>
    </row>
    <row r="37" spans="1:9">
      <c r="A37" s="181" t="s">
        <v>732</v>
      </c>
      <c r="B37" s="1709" t="s">
        <v>760</v>
      </c>
      <c r="C37" s="1709"/>
      <c r="D37" s="287">
        <f>SUM(D38:D42)</f>
        <v>0</v>
      </c>
      <c r="E37" s="287">
        <f>SUM(E38:E42)</f>
        <v>82707402.839999914</v>
      </c>
      <c r="F37" s="287">
        <f>SUM(F38:F42)</f>
        <v>-34096703.549999915</v>
      </c>
      <c r="G37" s="287">
        <f>SUM(G38:G42)</f>
        <v>0</v>
      </c>
      <c r="H37" s="287">
        <f t="shared" ref="H37:H42" si="4">SUM(D37:G37)</f>
        <v>48610699.289999999</v>
      </c>
      <c r="I37" s="283"/>
    </row>
    <row r="38" spans="1:9">
      <c r="A38" s="168"/>
      <c r="B38" s="1605" t="s">
        <v>761</v>
      </c>
      <c r="C38" s="1605"/>
      <c r="D38" s="288">
        <v>0</v>
      </c>
      <c r="E38" s="288">
        <v>0</v>
      </c>
      <c r="F38" s="288">
        <f>+ESF!I34</f>
        <v>48610699.289999999</v>
      </c>
      <c r="G38" s="288">
        <v>0</v>
      </c>
      <c r="H38" s="286">
        <f t="shared" si="4"/>
        <v>48610699.289999999</v>
      </c>
      <c r="I38" s="283"/>
    </row>
    <row r="39" spans="1:9">
      <c r="A39" s="168"/>
      <c r="B39" s="1605" t="s">
        <v>714</v>
      </c>
      <c r="C39" s="1605"/>
      <c r="D39" s="288">
        <v>0</v>
      </c>
      <c r="E39" s="288">
        <f>+ESF!I35-E21</f>
        <v>82707402.839999914</v>
      </c>
      <c r="F39" s="288">
        <f>-E39</f>
        <v>-82707402.839999914</v>
      </c>
      <c r="G39" s="288">
        <v>0</v>
      </c>
      <c r="H39" s="286">
        <f t="shared" si="4"/>
        <v>0</v>
      </c>
      <c r="I39" s="283"/>
    </row>
    <row r="40" spans="1:9">
      <c r="A40" s="168"/>
      <c r="B40" s="1605" t="s">
        <v>762</v>
      </c>
      <c r="C40" s="1605"/>
      <c r="D40" s="288">
        <v>0</v>
      </c>
      <c r="E40" s="288">
        <v>0</v>
      </c>
      <c r="F40" s="288">
        <v>0</v>
      </c>
      <c r="G40" s="288">
        <v>0</v>
      </c>
      <c r="H40" s="286">
        <f t="shared" si="4"/>
        <v>0</v>
      </c>
      <c r="I40" s="283"/>
    </row>
    <row r="41" spans="1:9">
      <c r="A41" s="168"/>
      <c r="B41" s="1605" t="s">
        <v>716</v>
      </c>
      <c r="C41" s="1605"/>
      <c r="D41" s="288">
        <v>0</v>
      </c>
      <c r="E41" s="288">
        <v>0</v>
      </c>
      <c r="F41" s="288">
        <v>0</v>
      </c>
      <c r="G41" s="288">
        <v>0</v>
      </c>
      <c r="H41" s="286">
        <f t="shared" si="4"/>
        <v>0</v>
      </c>
      <c r="I41" s="283"/>
    </row>
    <row r="42" spans="1:9">
      <c r="A42" s="168"/>
      <c r="B42" s="1605" t="s">
        <v>231</v>
      </c>
      <c r="C42" s="1605"/>
      <c r="D42" s="288">
        <v>0</v>
      </c>
      <c r="E42" s="288">
        <v>0</v>
      </c>
      <c r="F42" s="1341">
        <v>0</v>
      </c>
      <c r="G42" s="288">
        <v>0</v>
      </c>
      <c r="H42" s="286">
        <f t="shared" si="4"/>
        <v>0</v>
      </c>
      <c r="I42" s="283"/>
    </row>
    <row r="43" spans="1:9">
      <c r="A43" s="168"/>
      <c r="B43" s="179"/>
      <c r="C43" s="179"/>
      <c r="D43" s="288"/>
      <c r="E43" s="288"/>
      <c r="F43" s="288"/>
      <c r="G43" s="288"/>
      <c r="H43" s="286"/>
      <c r="I43" s="283"/>
    </row>
    <row r="44" spans="1:9" ht="12" customHeight="1">
      <c r="A44" s="168"/>
      <c r="B44" s="1709" t="s">
        <v>5639</v>
      </c>
      <c r="C44" s="1709"/>
      <c r="D44" s="284">
        <f>+D46+D47</f>
        <v>0</v>
      </c>
      <c r="E44" s="284">
        <f t="shared" ref="E44:H44" si="5">+E46+E47</f>
        <v>0</v>
      </c>
      <c r="F44" s="284">
        <f t="shared" si="5"/>
        <v>0</v>
      </c>
      <c r="G44" s="284">
        <f t="shared" si="5"/>
        <v>0</v>
      </c>
      <c r="H44" s="284">
        <f t="shared" si="5"/>
        <v>0</v>
      </c>
      <c r="I44" s="283"/>
    </row>
    <row r="45" spans="1:9">
      <c r="A45" s="168"/>
      <c r="B45" s="1712"/>
      <c r="C45" s="1712"/>
      <c r="D45" s="288"/>
      <c r="E45" s="288"/>
      <c r="F45" s="288"/>
      <c r="G45" s="288"/>
      <c r="H45" s="286"/>
      <c r="I45" s="283"/>
    </row>
    <row r="46" spans="1:9">
      <c r="A46" s="168"/>
      <c r="B46" s="1710" t="s">
        <v>718</v>
      </c>
      <c r="C46" s="1710"/>
      <c r="D46" s="288">
        <v>0</v>
      </c>
      <c r="E46" s="288">
        <v>0</v>
      </c>
      <c r="F46" s="288">
        <v>0</v>
      </c>
      <c r="G46" s="288">
        <f>+ESF!I39-ESF!J39</f>
        <v>0</v>
      </c>
      <c r="H46" s="286">
        <f t="shared" ref="H46:H47" si="6">SUM(D46:G46)</f>
        <v>0</v>
      </c>
      <c r="I46" s="283"/>
    </row>
    <row r="47" spans="1:9">
      <c r="A47" s="168"/>
      <c r="B47" s="1710" t="s">
        <v>2985</v>
      </c>
      <c r="C47" s="1710"/>
      <c r="D47" s="288">
        <v>0</v>
      </c>
      <c r="E47" s="288">
        <v>0</v>
      </c>
      <c r="F47" s="288">
        <v>0</v>
      </c>
      <c r="G47" s="288">
        <f>+ESF!I40-ESF!J40</f>
        <v>0</v>
      </c>
      <c r="H47" s="286">
        <f t="shared" si="6"/>
        <v>0</v>
      </c>
      <c r="I47" s="283"/>
    </row>
    <row r="48" spans="1:9">
      <c r="A48" s="168"/>
      <c r="B48" s="179"/>
      <c r="C48" s="179"/>
      <c r="D48" s="288"/>
      <c r="E48" s="288"/>
      <c r="F48" s="288"/>
      <c r="G48" s="288"/>
      <c r="H48" s="286"/>
      <c r="I48" s="283"/>
    </row>
    <row r="49" spans="1:11" ht="9.9499999999999993" customHeight="1">
      <c r="A49" s="181"/>
      <c r="B49" s="285"/>
      <c r="C49" s="171"/>
      <c r="D49" s="286"/>
      <c r="E49" s="286"/>
      <c r="F49" s="286"/>
      <c r="G49" s="286"/>
      <c r="H49" s="286"/>
      <c r="I49" s="283"/>
    </row>
    <row r="50" spans="1:11" ht="18">
      <c r="A50" s="291"/>
      <c r="B50" s="1711" t="s">
        <v>5640</v>
      </c>
      <c r="C50" s="1711"/>
      <c r="D50" s="292">
        <f>D30+D32+D37+D44</f>
        <v>278482908.89999998</v>
      </c>
      <c r="E50" s="292">
        <f>E30+E32+E37</f>
        <v>855388979.28999996</v>
      </c>
      <c r="F50" s="292">
        <f>F30+F32+F37</f>
        <v>48610699.290000089</v>
      </c>
      <c r="G50" s="292">
        <f>G30+G32+G37</f>
        <v>20576226.51000002</v>
      </c>
      <c r="H50" s="292">
        <f>SUM(D50:G50)</f>
        <v>1203058813.9900002</v>
      </c>
      <c r="I50" s="293"/>
      <c r="J50" s="1346">
        <f>+D50+E50+F50+G50-H37-H30</f>
        <v>0</v>
      </c>
      <c r="K50" s="290"/>
    </row>
    <row r="51" spans="1:11" ht="6" customHeight="1">
      <c r="A51" s="294"/>
      <c r="B51" s="294"/>
      <c r="C51" s="294"/>
      <c r="D51" s="294"/>
      <c r="E51" s="294"/>
      <c r="F51" s="294"/>
      <c r="G51" s="294"/>
      <c r="H51" s="294"/>
      <c r="I51" s="295"/>
    </row>
    <row r="52" spans="1:11" ht="6" customHeight="1">
      <c r="D52" s="231"/>
      <c r="E52" s="231"/>
      <c r="I52" s="172"/>
    </row>
    <row r="53" spans="1:11" ht="15" customHeight="1">
      <c r="A53" s="157"/>
      <c r="B53" s="1612" t="s">
        <v>664</v>
      </c>
      <c r="C53" s="1612"/>
      <c r="D53" s="1612"/>
      <c r="E53" s="1612"/>
      <c r="F53" s="1612"/>
      <c r="G53" s="1612"/>
      <c r="H53" s="1612"/>
      <c r="I53" s="1612"/>
      <c r="J53" s="170"/>
    </row>
    <row r="54" spans="1:11" ht="9.75" customHeight="1">
      <c r="A54" s="157"/>
      <c r="B54" s="170"/>
      <c r="C54" s="193"/>
      <c r="D54" s="194"/>
      <c r="E54" s="194"/>
      <c r="F54" s="157"/>
      <c r="G54" s="195"/>
      <c r="H54" s="193"/>
      <c r="I54" s="194"/>
      <c r="J54" s="194"/>
    </row>
    <row r="55" spans="1:11" ht="50.1" customHeight="1">
      <c r="A55" s="157"/>
      <c r="B55" s="170"/>
      <c r="C55" s="444"/>
      <c r="D55" s="232"/>
      <c r="E55" s="199"/>
      <c r="F55" s="196"/>
      <c r="G55" s="445"/>
      <c r="H55" s="234"/>
      <c r="I55" s="194"/>
      <c r="J55" s="194"/>
    </row>
    <row r="56" spans="1:11" ht="14.1" customHeight="1">
      <c r="A56" s="157"/>
      <c r="B56" s="201"/>
      <c r="C56" s="558" t="s">
        <v>2867</v>
      </c>
      <c r="D56" s="153"/>
      <c r="E56" s="1615" t="s">
        <v>754</v>
      </c>
      <c r="F56" s="1615"/>
      <c r="G56" s="1615"/>
      <c r="I56" s="171"/>
      <c r="J56" s="194"/>
    </row>
    <row r="57" spans="1:11" ht="14.1" customHeight="1">
      <c r="A57" s="157"/>
      <c r="B57" s="203"/>
      <c r="C57" s="557" t="s">
        <v>1765</v>
      </c>
      <c r="D57" s="426"/>
      <c r="E57" s="1690" t="s">
        <v>666</v>
      </c>
      <c r="F57" s="1690"/>
      <c r="G57" s="1690"/>
      <c r="I57" s="171"/>
      <c r="J57" s="194"/>
    </row>
  </sheetData>
  <sheetProtection formatCells="0" selectLockedCells="1"/>
  <mergeCells count="40">
    <mergeCell ref="H1:I1"/>
    <mergeCell ref="C3:G3"/>
    <mergeCell ref="C4:G4"/>
    <mergeCell ref="B21:C21"/>
    <mergeCell ref="C6:G6"/>
    <mergeCell ref="C7:I7"/>
    <mergeCell ref="B10:C10"/>
    <mergeCell ref="B14:C14"/>
    <mergeCell ref="B15:C15"/>
    <mergeCell ref="B16:C16"/>
    <mergeCell ref="B17:C17"/>
    <mergeCell ref="D1:E1"/>
    <mergeCell ref="F1:G1"/>
    <mergeCell ref="B19:C19"/>
    <mergeCell ref="B20:C20"/>
    <mergeCell ref="C5:G5"/>
    <mergeCell ref="E56:G56"/>
    <mergeCell ref="E57:G57"/>
    <mergeCell ref="B40:C40"/>
    <mergeCell ref="B50:C50"/>
    <mergeCell ref="B53:I53"/>
    <mergeCell ref="B41:C41"/>
    <mergeCell ref="B42:C42"/>
    <mergeCell ref="B46:C46"/>
    <mergeCell ref="B47:C47"/>
    <mergeCell ref="B44:C45"/>
    <mergeCell ref="B39:C39"/>
    <mergeCell ref="B22:C22"/>
    <mergeCell ref="B23:C23"/>
    <mergeCell ref="B30:C30"/>
    <mergeCell ref="B32:C32"/>
    <mergeCell ref="B33:C33"/>
    <mergeCell ref="B24:C24"/>
    <mergeCell ref="B26:C26"/>
    <mergeCell ref="B28:C28"/>
    <mergeCell ref="B27:C27"/>
    <mergeCell ref="B34:C34"/>
    <mergeCell ref="B35:C35"/>
    <mergeCell ref="B37:C37"/>
    <mergeCell ref="B38:C38"/>
  </mergeCells>
  <printOptions verticalCentered="1"/>
  <pageMargins left="0.78" right="0.94" top="0.28000000000000003" bottom="0.59055118110236227" header="0" footer="0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5F66-3289-4A30-80F3-85A7B4E151DC}">
  <sheetPr>
    <pageSetUpPr fitToPage="1"/>
  </sheetPr>
  <dimension ref="B1:H45"/>
  <sheetViews>
    <sheetView topLeftCell="A19" zoomScale="95" zoomScaleNormal="95" workbookViewId="0">
      <selection activeCell="E31" sqref="E31:E35"/>
    </sheetView>
  </sheetViews>
  <sheetFormatPr baseColWidth="10" defaultColWidth="11.5703125" defaultRowHeight="15"/>
  <cols>
    <col min="1" max="1" width="2.7109375" style="857" customWidth="1"/>
    <col min="2" max="2" width="47" style="857" customWidth="1"/>
    <col min="3" max="7" width="28.7109375" style="857" customWidth="1"/>
    <col min="8" max="16384" width="11.5703125" style="857"/>
  </cols>
  <sheetData>
    <row r="1" spans="2:8">
      <c r="H1" s="858" t="s">
        <v>4746</v>
      </c>
    </row>
    <row r="2" spans="2:8">
      <c r="B2" s="1716" t="str">
        <f>+'1 ea sif'!B2:F2</f>
        <v>PROMOTORA PARA EL DESARROLLO ECONÓMICO DE CHIHUAHUA</v>
      </c>
      <c r="C2" s="1717"/>
      <c r="D2" s="1717"/>
      <c r="E2" s="1717"/>
      <c r="F2" s="1717"/>
      <c r="G2" s="1718"/>
    </row>
    <row r="3" spans="2:8">
      <c r="B3" s="1702" t="s">
        <v>755</v>
      </c>
      <c r="C3" s="1703"/>
      <c r="D3" s="1703"/>
      <c r="E3" s="1703"/>
      <c r="F3" s="1703"/>
      <c r="G3" s="1704"/>
    </row>
    <row r="4" spans="2:8">
      <c r="B4" s="1719"/>
      <c r="C4" s="1720"/>
      <c r="D4" s="1720"/>
      <c r="E4" s="1720"/>
      <c r="F4" s="1720"/>
      <c r="G4" s="1721"/>
    </row>
    <row r="5" spans="2:8" ht="36">
      <c r="B5" s="859" t="s">
        <v>230</v>
      </c>
      <c r="C5" s="859" t="s">
        <v>4747</v>
      </c>
      <c r="D5" s="859" t="s">
        <v>4748</v>
      </c>
      <c r="E5" s="860" t="s">
        <v>4749</v>
      </c>
      <c r="F5" s="861" t="s">
        <v>4750</v>
      </c>
      <c r="G5" s="861" t="s">
        <v>87</v>
      </c>
    </row>
    <row r="6" spans="2:8">
      <c r="B6" s="862"/>
      <c r="C6" s="863"/>
      <c r="D6" s="863"/>
      <c r="E6" s="864"/>
      <c r="F6" s="865"/>
      <c r="G6" s="865"/>
    </row>
    <row r="7" spans="2:8" ht="24.75" customHeight="1">
      <c r="B7" s="866" t="s">
        <v>5641</v>
      </c>
      <c r="C7" s="867">
        <f>SUM(C8,C9,C10)</f>
        <v>278482908.89999998</v>
      </c>
      <c r="D7" s="868"/>
      <c r="E7" s="869"/>
      <c r="F7" s="870"/>
      <c r="G7" s="871">
        <f>SUM(C7:F7)</f>
        <v>278482908.89999998</v>
      </c>
    </row>
    <row r="8" spans="2:8">
      <c r="B8" s="872" t="s">
        <v>643</v>
      </c>
      <c r="C8" s="873">
        <f>+EVHP!D15</f>
        <v>10952891.960000001</v>
      </c>
      <c r="D8" s="874"/>
      <c r="E8" s="875"/>
      <c r="F8" s="876"/>
      <c r="G8" s="877">
        <f>SUM(C8:F8)</f>
        <v>10952891.960000001</v>
      </c>
    </row>
    <row r="9" spans="2:8">
      <c r="B9" s="872" t="s">
        <v>710</v>
      </c>
      <c r="C9" s="873">
        <f>+EVHP!D16</f>
        <v>0</v>
      </c>
      <c r="D9" s="874"/>
      <c r="E9" s="875"/>
      <c r="F9" s="876"/>
      <c r="G9" s="877">
        <f>SUM(C9:F9)</f>
        <v>0</v>
      </c>
    </row>
    <row r="10" spans="2:8">
      <c r="B10" s="872" t="s">
        <v>759</v>
      </c>
      <c r="C10" s="873">
        <f>+EVHP!D17</f>
        <v>267530016.94</v>
      </c>
      <c r="D10" s="874"/>
      <c r="E10" s="875"/>
      <c r="F10" s="876"/>
      <c r="G10" s="877">
        <f>SUM(C10:F10)</f>
        <v>267530016.94</v>
      </c>
    </row>
    <row r="11" spans="2:8">
      <c r="B11" s="872"/>
      <c r="C11" s="878"/>
      <c r="D11" s="878"/>
      <c r="E11" s="879"/>
      <c r="F11" s="877"/>
      <c r="G11" s="877"/>
    </row>
    <row r="12" spans="2:8">
      <c r="B12" s="866" t="s">
        <v>5642</v>
      </c>
      <c r="C12" s="868"/>
      <c r="D12" s="867">
        <f>SUM(D14,D15,D16,D17,)</f>
        <v>772681576.45000005</v>
      </c>
      <c r="E12" s="880">
        <f>SUM(E13)</f>
        <v>82707402.840000004</v>
      </c>
      <c r="F12" s="870"/>
      <c r="G12" s="871">
        <f>SUM(C12:F12)</f>
        <v>855388979.29000008</v>
      </c>
    </row>
    <row r="13" spans="2:8">
      <c r="B13" s="872" t="s">
        <v>761</v>
      </c>
      <c r="C13" s="874"/>
      <c r="D13" s="874"/>
      <c r="E13" s="881">
        <f>+EVHP!F20</f>
        <v>82707402.840000004</v>
      </c>
      <c r="F13" s="876"/>
      <c r="G13" s="877">
        <f>SUM(C13:F13)</f>
        <v>82707402.840000004</v>
      </c>
    </row>
    <row r="14" spans="2:8">
      <c r="B14" s="872" t="s">
        <v>714</v>
      </c>
      <c r="C14" s="874"/>
      <c r="D14" s="873">
        <f>+EVHP!E21</f>
        <v>772681576.45000005</v>
      </c>
      <c r="E14" s="875"/>
      <c r="F14" s="876"/>
      <c r="G14" s="877">
        <f>SUM(C14:F14)</f>
        <v>772681576.45000005</v>
      </c>
    </row>
    <row r="15" spans="2:8">
      <c r="B15" s="872" t="s">
        <v>715</v>
      </c>
      <c r="C15" s="874"/>
      <c r="D15" s="873">
        <v>0</v>
      </c>
      <c r="E15" s="875"/>
      <c r="F15" s="876"/>
      <c r="G15" s="877">
        <f>D15</f>
        <v>0</v>
      </c>
    </row>
    <row r="16" spans="2:8">
      <c r="B16" s="872" t="s">
        <v>716</v>
      </c>
      <c r="C16" s="874"/>
      <c r="D16" s="873">
        <v>0</v>
      </c>
      <c r="E16" s="875"/>
      <c r="F16" s="876"/>
      <c r="G16" s="877">
        <f>D16</f>
        <v>0</v>
      </c>
    </row>
    <row r="17" spans="2:7">
      <c r="B17" s="872" t="s">
        <v>231</v>
      </c>
      <c r="C17" s="874"/>
      <c r="D17" s="873">
        <v>0</v>
      </c>
      <c r="E17" s="875"/>
      <c r="F17" s="876"/>
      <c r="G17" s="877">
        <f>D17</f>
        <v>0</v>
      </c>
    </row>
    <row r="18" spans="2:7">
      <c r="B18" s="872"/>
      <c r="C18" s="878"/>
      <c r="D18" s="878"/>
      <c r="E18" s="879"/>
      <c r="F18" s="877"/>
      <c r="G18" s="877"/>
    </row>
    <row r="19" spans="2:7" ht="24">
      <c r="B19" s="866" t="s">
        <v>5643</v>
      </c>
      <c r="C19" s="874"/>
      <c r="D19" s="874"/>
      <c r="E19" s="875"/>
      <c r="F19" s="871">
        <f>SUM(F20,F21,)</f>
        <v>20576226.51000002</v>
      </c>
      <c r="G19" s="871">
        <f>F19</f>
        <v>20576226.51000002</v>
      </c>
    </row>
    <row r="20" spans="2:7">
      <c r="B20" s="872" t="s">
        <v>718</v>
      </c>
      <c r="C20" s="874"/>
      <c r="D20" s="874"/>
      <c r="E20" s="875"/>
      <c r="F20" s="882">
        <f>+EVHP!G27</f>
        <v>-167471499.56999999</v>
      </c>
      <c r="G20" s="877">
        <f>F20</f>
        <v>-167471499.56999999</v>
      </c>
    </row>
    <row r="21" spans="2:7">
      <c r="B21" s="872" t="s">
        <v>719</v>
      </c>
      <c r="C21" s="874"/>
      <c r="D21" s="874"/>
      <c r="E21" s="875"/>
      <c r="F21" s="882">
        <f>+EVHP!G28</f>
        <v>188047726.08000001</v>
      </c>
      <c r="G21" s="877">
        <f>F21</f>
        <v>188047726.08000001</v>
      </c>
    </row>
    <row r="22" spans="2:7">
      <c r="B22" s="872"/>
      <c r="C22" s="878"/>
      <c r="D22" s="878"/>
      <c r="E22" s="879"/>
      <c r="F22" s="877"/>
      <c r="G22" s="877"/>
    </row>
    <row r="23" spans="2:7">
      <c r="B23" s="866" t="s">
        <v>4751</v>
      </c>
      <c r="C23" s="867">
        <f>SUM(C7)</f>
        <v>278482908.89999998</v>
      </c>
      <c r="D23" s="867">
        <f>SUM(D12)</f>
        <v>772681576.45000005</v>
      </c>
      <c r="E23" s="880">
        <f>E12</f>
        <v>82707402.840000004</v>
      </c>
      <c r="F23" s="871">
        <f>SUM(F19)</f>
        <v>20576226.51000002</v>
      </c>
      <c r="G23" s="871">
        <f>SUM(C23:F23)</f>
        <v>1154448114.7</v>
      </c>
    </row>
    <row r="24" spans="2:7">
      <c r="B24" s="872"/>
      <c r="C24" s="867"/>
      <c r="D24" s="878"/>
      <c r="E24" s="879"/>
      <c r="F24" s="877"/>
      <c r="G24" s="877"/>
    </row>
    <row r="25" spans="2:7" ht="24">
      <c r="B25" s="866" t="s">
        <v>5644</v>
      </c>
      <c r="C25" s="867">
        <f>SUM(C26:C28)</f>
        <v>0</v>
      </c>
      <c r="D25" s="868"/>
      <c r="E25" s="869"/>
      <c r="F25" s="870"/>
      <c r="G25" s="871">
        <f>C25</f>
        <v>0</v>
      </c>
    </row>
    <row r="26" spans="2:7">
      <c r="B26" s="872" t="s">
        <v>643</v>
      </c>
      <c r="C26" s="873">
        <v>0</v>
      </c>
      <c r="D26" s="874"/>
      <c r="E26" s="875"/>
      <c r="F26" s="876"/>
      <c r="G26" s="877">
        <f>C26</f>
        <v>0</v>
      </c>
    </row>
    <row r="27" spans="2:7">
      <c r="B27" s="872" t="s">
        <v>710</v>
      </c>
      <c r="C27" s="873">
        <v>0</v>
      </c>
      <c r="D27" s="874"/>
      <c r="E27" s="875"/>
      <c r="F27" s="876"/>
      <c r="G27" s="877">
        <f>C27</f>
        <v>0</v>
      </c>
    </row>
    <row r="28" spans="2:7">
      <c r="B28" s="872" t="s">
        <v>759</v>
      </c>
      <c r="C28" s="873">
        <v>0</v>
      </c>
      <c r="D28" s="874"/>
      <c r="E28" s="875"/>
      <c r="F28" s="876"/>
      <c r="G28" s="877">
        <f>C28</f>
        <v>0</v>
      </c>
    </row>
    <row r="29" spans="2:7">
      <c r="B29" s="872"/>
      <c r="C29" s="878"/>
      <c r="D29" s="878"/>
      <c r="E29" s="879"/>
      <c r="F29" s="877"/>
      <c r="G29" s="877"/>
    </row>
    <row r="30" spans="2:7" ht="24">
      <c r="B30" s="866" t="s">
        <v>5645</v>
      </c>
      <c r="C30" s="868"/>
      <c r="D30" s="867">
        <f>D32</f>
        <v>82707402.839999914</v>
      </c>
      <c r="E30" s="880">
        <f>SUM(E31:E35)</f>
        <v>-34096703.549999915</v>
      </c>
      <c r="F30" s="870"/>
      <c r="G30" s="871">
        <f>SUM(D30:E30)</f>
        <v>48610699.289999999</v>
      </c>
    </row>
    <row r="31" spans="2:7">
      <c r="B31" s="872" t="s">
        <v>761</v>
      </c>
      <c r="C31" s="874"/>
      <c r="D31" s="874"/>
      <c r="E31" s="881">
        <f>+EVHP!F38</f>
        <v>48610699.289999999</v>
      </c>
      <c r="F31" s="876"/>
      <c r="G31" s="877">
        <f>SUM(E31)</f>
        <v>48610699.289999999</v>
      </c>
    </row>
    <row r="32" spans="2:7">
      <c r="B32" s="872" t="s">
        <v>714</v>
      </c>
      <c r="C32" s="874"/>
      <c r="D32" s="873">
        <f>+EVHP!E39</f>
        <v>82707402.839999914</v>
      </c>
      <c r="E32" s="881">
        <f>+EVHP!F39</f>
        <v>-82707402.839999914</v>
      </c>
      <c r="F32" s="876"/>
      <c r="G32" s="877">
        <f>SUM(D32:E32)</f>
        <v>0</v>
      </c>
    </row>
    <row r="33" spans="2:7">
      <c r="B33" s="872" t="s">
        <v>715</v>
      </c>
      <c r="C33" s="874"/>
      <c r="D33" s="874"/>
      <c r="E33" s="881">
        <v>0</v>
      </c>
      <c r="F33" s="876"/>
      <c r="G33" s="877">
        <f>E33</f>
        <v>0</v>
      </c>
    </row>
    <row r="34" spans="2:7">
      <c r="B34" s="872" t="s">
        <v>716</v>
      </c>
      <c r="C34" s="874"/>
      <c r="D34" s="874"/>
      <c r="E34" s="881">
        <v>0</v>
      </c>
      <c r="F34" s="876"/>
      <c r="G34" s="877">
        <f>E34</f>
        <v>0</v>
      </c>
    </row>
    <row r="35" spans="2:7">
      <c r="B35" s="872" t="s">
        <v>231</v>
      </c>
      <c r="C35" s="874"/>
      <c r="D35" s="874"/>
      <c r="E35" s="881">
        <f>+EVHP!F42</f>
        <v>0</v>
      </c>
      <c r="F35" s="876"/>
      <c r="G35" s="877">
        <f>E35</f>
        <v>0</v>
      </c>
    </row>
    <row r="36" spans="2:7">
      <c r="B36" s="872"/>
      <c r="C36" s="878"/>
      <c r="D36" s="878"/>
      <c r="E36" s="879"/>
      <c r="F36" s="877"/>
      <c r="G36" s="877"/>
    </row>
    <row r="37" spans="2:7" ht="36">
      <c r="B37" s="866" t="s">
        <v>5646</v>
      </c>
      <c r="C37" s="874"/>
      <c r="D37" s="874"/>
      <c r="E37" s="875"/>
      <c r="F37" s="871">
        <f>SUM(F38:F39)</f>
        <v>0</v>
      </c>
      <c r="G37" s="871">
        <f>F37</f>
        <v>0</v>
      </c>
    </row>
    <row r="38" spans="2:7">
      <c r="B38" s="872" t="s">
        <v>718</v>
      </c>
      <c r="C38" s="874"/>
      <c r="D38" s="874"/>
      <c r="E38" s="875"/>
      <c r="F38" s="882">
        <v>0</v>
      </c>
      <c r="G38" s="877">
        <f>F38</f>
        <v>0</v>
      </c>
    </row>
    <row r="39" spans="2:7">
      <c r="B39" s="872" t="s">
        <v>719</v>
      </c>
      <c r="C39" s="874"/>
      <c r="D39" s="874"/>
      <c r="E39" s="875"/>
      <c r="F39" s="882">
        <v>0</v>
      </c>
      <c r="G39" s="877">
        <f>F39</f>
        <v>0</v>
      </c>
    </row>
    <row r="40" spans="2:7">
      <c r="B40" s="872"/>
      <c r="C40" s="878"/>
      <c r="D40" s="878"/>
      <c r="E40" s="879"/>
      <c r="F40" s="877"/>
      <c r="G40" s="877"/>
    </row>
    <row r="41" spans="2:7">
      <c r="B41" s="866" t="s">
        <v>5647</v>
      </c>
      <c r="C41" s="867">
        <f>SUM(C23,C25)</f>
        <v>278482908.89999998</v>
      </c>
      <c r="D41" s="867">
        <f>SUM(D23,D30)</f>
        <v>855388979.28999996</v>
      </c>
      <c r="E41" s="880">
        <f>SUM(E30,E23)</f>
        <v>48610699.290000089</v>
      </c>
      <c r="F41" s="871">
        <f>SUM(F37,F23)</f>
        <v>20576226.51000002</v>
      </c>
      <c r="G41" s="871">
        <f>SUM(C41:F41)</f>
        <v>1203058813.9900002</v>
      </c>
    </row>
    <row r="42" spans="2:7">
      <c r="B42" s="883"/>
    </row>
    <row r="43" spans="2:7">
      <c r="B43" s="883"/>
    </row>
    <row r="44" spans="2:7">
      <c r="B44" s="883"/>
    </row>
    <row r="45" spans="2:7">
      <c r="B45" s="883"/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Q69"/>
  <sheetViews>
    <sheetView showWhiteSpace="0" topLeftCell="E34" zoomScaleNormal="100" workbookViewId="0">
      <selection activeCell="O47" sqref="O47"/>
    </sheetView>
  </sheetViews>
  <sheetFormatPr baseColWidth="10" defaultRowHeight="12"/>
  <cols>
    <col min="1" max="1" width="1.28515625" style="157" hidden="1" customWidth="1"/>
    <col min="2" max="3" width="3.7109375" style="157" customWidth="1"/>
    <col min="4" max="4" width="23.85546875" style="157" customWidth="1"/>
    <col min="5" max="5" width="21.42578125" style="157" customWidth="1"/>
    <col min="6" max="6" width="17.28515625" style="157" customWidth="1"/>
    <col min="7" max="8" width="18.7109375" style="156" customWidth="1"/>
    <col min="9" max="9" width="7.7109375" style="157" customWidth="1"/>
    <col min="10" max="11" width="3.7109375" style="157" customWidth="1"/>
    <col min="12" max="16" width="18.7109375" style="157" customWidth="1"/>
    <col min="17" max="17" width="1.85546875" style="157" customWidth="1"/>
    <col min="18" max="16384" width="11.42578125" style="157"/>
  </cols>
  <sheetData>
    <row r="1" spans="1:17" ht="16.5" customHeight="1">
      <c r="B1" s="208"/>
      <c r="C1" s="208"/>
      <c r="D1" s="208"/>
      <c r="E1" s="1604" t="s">
        <v>2987</v>
      </c>
      <c r="F1" s="1604"/>
      <c r="G1" s="1604"/>
      <c r="H1" s="1604"/>
      <c r="I1" s="1604"/>
      <c r="J1" s="1604"/>
      <c r="K1" s="1604"/>
      <c r="L1" s="1604"/>
      <c r="M1" s="1604"/>
      <c r="N1" s="1604"/>
      <c r="O1" s="1604"/>
      <c r="P1" s="208"/>
      <c r="Q1" s="208"/>
    </row>
    <row r="2" spans="1:17" ht="15" customHeight="1">
      <c r="B2" s="208"/>
      <c r="C2" s="208"/>
      <c r="D2" s="208"/>
      <c r="E2" s="1604" t="s">
        <v>763</v>
      </c>
      <c r="F2" s="1604"/>
      <c r="G2" s="1604"/>
      <c r="H2" s="1604"/>
      <c r="I2" s="1604"/>
      <c r="J2" s="1604"/>
      <c r="K2" s="1604"/>
      <c r="L2" s="1604"/>
      <c r="M2" s="1604"/>
      <c r="N2" s="1604"/>
      <c r="O2" s="1604"/>
      <c r="P2" s="208"/>
      <c r="Q2" s="208"/>
    </row>
    <row r="3" spans="1:17" ht="15" customHeight="1">
      <c r="B3" s="208"/>
      <c r="C3" s="208"/>
      <c r="D3" s="453"/>
      <c r="E3" s="1604" t="str">
        <f>+EA!C3</f>
        <v>Del 1 de enero al 31 de diciembre de 2021</v>
      </c>
      <c r="F3" s="1604"/>
      <c r="G3" s="1604"/>
      <c r="H3" s="1604"/>
      <c r="I3" s="1604"/>
      <c r="J3" s="1604"/>
      <c r="K3" s="1604"/>
      <c r="L3" s="1604"/>
      <c r="M3" s="1604"/>
      <c r="N3" s="1604"/>
      <c r="O3" s="1604"/>
      <c r="P3" s="1314"/>
      <c r="Q3" s="208"/>
    </row>
    <row r="4" spans="1:17" ht="16.5" customHeight="1">
      <c r="B4" s="208"/>
      <c r="C4" s="208"/>
      <c r="D4" s="453"/>
      <c r="E4" s="1604" t="str">
        <f>+EA!C4</f>
        <v>y al 31 de diciembre de 2020</v>
      </c>
      <c r="F4" s="1604"/>
      <c r="G4" s="1604"/>
      <c r="H4" s="1604"/>
      <c r="I4" s="1604"/>
      <c r="J4" s="1604"/>
      <c r="K4" s="1604"/>
      <c r="L4" s="1604"/>
      <c r="M4" s="1604"/>
      <c r="N4" s="1604"/>
      <c r="O4" s="1604"/>
      <c r="P4" s="208"/>
      <c r="Q4" s="208"/>
    </row>
    <row r="5" spans="1:17" ht="3" customHeight="1">
      <c r="C5" s="211"/>
      <c r="D5" s="297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8"/>
    </row>
    <row r="6" spans="1:17" ht="5.0999999999999996" customHeight="1">
      <c r="B6" s="211"/>
      <c r="C6" s="211"/>
      <c r="D6" s="297"/>
      <c r="E6" s="211"/>
      <c r="F6" s="211"/>
      <c r="G6" s="298"/>
      <c r="H6" s="298"/>
      <c r="I6" s="297"/>
    </row>
    <row r="7" spans="1:17" ht="3" customHeight="1">
      <c r="C7" s="299"/>
      <c r="D7" s="297"/>
      <c r="E7" s="299"/>
      <c r="F7" s="299"/>
      <c r="G7" s="300"/>
      <c r="H7" s="300"/>
      <c r="I7" s="297"/>
    </row>
    <row r="8" spans="1:17" ht="31.5" customHeight="1">
      <c r="A8" s="301"/>
      <c r="B8" s="1722" t="s">
        <v>230</v>
      </c>
      <c r="C8" s="1722"/>
      <c r="D8" s="1722"/>
      <c r="E8" s="1722"/>
      <c r="F8" s="630"/>
      <c r="G8" s="660">
        <v>2021</v>
      </c>
      <c r="H8" s="660">
        <v>2020</v>
      </c>
      <c r="I8" s="649"/>
      <c r="J8" s="1722" t="s">
        <v>230</v>
      </c>
      <c r="K8" s="1722"/>
      <c r="L8" s="1722"/>
      <c r="M8" s="1722"/>
      <c r="N8" s="630"/>
      <c r="O8" s="660">
        <v>2021</v>
      </c>
      <c r="P8" s="660">
        <v>2020</v>
      </c>
      <c r="Q8" s="650"/>
    </row>
    <row r="9" spans="1:17" ht="3" customHeight="1">
      <c r="A9" s="216"/>
      <c r="D9" s="217"/>
      <c r="E9" s="217"/>
      <c r="F9" s="217"/>
      <c r="G9" s="302"/>
      <c r="H9" s="302"/>
      <c r="Q9" s="167"/>
    </row>
    <row r="10" spans="1:17">
      <c r="A10" s="168"/>
      <c r="B10" s="156"/>
      <c r="C10" s="219"/>
      <c r="D10" s="219"/>
      <c r="E10" s="219"/>
      <c r="F10" s="219"/>
      <c r="G10" s="302"/>
      <c r="H10" s="302"/>
      <c r="I10" s="156"/>
      <c r="Q10" s="167"/>
    </row>
    <row r="11" spans="1:17" ht="17.25" customHeight="1">
      <c r="A11" s="168"/>
      <c r="B11" s="1723" t="s">
        <v>764</v>
      </c>
      <c r="C11" s="1723"/>
      <c r="D11" s="1723"/>
      <c r="E11" s="1723"/>
      <c r="F11" s="1723"/>
      <c r="G11" s="302"/>
      <c r="H11" s="302"/>
      <c r="I11" s="156"/>
      <c r="J11" s="1723" t="s">
        <v>765</v>
      </c>
      <c r="K11" s="1723"/>
      <c r="L11" s="1723"/>
      <c r="M11" s="1723"/>
      <c r="N11" s="1723"/>
      <c r="O11" s="303"/>
      <c r="P11" s="303"/>
      <c r="Q11" s="167"/>
    </row>
    <row r="12" spans="1:17" ht="17.25" customHeight="1">
      <c r="A12" s="168"/>
      <c r="B12" s="156"/>
      <c r="C12" s="219"/>
      <c r="D12" s="156"/>
      <c r="E12" s="219"/>
      <c r="F12" s="219"/>
      <c r="G12" s="302"/>
      <c r="H12" s="302"/>
      <c r="I12" s="156"/>
      <c r="J12" s="156"/>
      <c r="K12" s="219"/>
      <c r="L12" s="219"/>
      <c r="M12" s="219"/>
      <c r="N12" s="219"/>
      <c r="O12" s="303"/>
      <c r="P12" s="303"/>
      <c r="Q12" s="167"/>
    </row>
    <row r="13" spans="1:17" ht="17.25" customHeight="1">
      <c r="A13" s="168"/>
      <c r="B13" s="156"/>
      <c r="C13" s="1723" t="s">
        <v>226</v>
      </c>
      <c r="D13" s="1723"/>
      <c r="E13" s="1723"/>
      <c r="F13" s="1723"/>
      <c r="G13" s="304">
        <f>SUM(G14:G24)</f>
        <v>123755239.81000002</v>
      </c>
      <c r="H13" s="304">
        <f>SUM(H14:H24)</f>
        <v>139223520.72</v>
      </c>
      <c r="I13" s="156"/>
      <c r="J13" s="156"/>
      <c r="K13" s="1723" t="s">
        <v>226</v>
      </c>
      <c r="L13" s="1723"/>
      <c r="M13" s="1723"/>
      <c r="N13" s="1723"/>
      <c r="O13" s="304">
        <f>SUM(O14:O16)</f>
        <v>5154996.700000003</v>
      </c>
      <c r="P13" s="304">
        <f>SUM(P14:P16)</f>
        <v>4591991.4999999963</v>
      </c>
      <c r="Q13" s="167"/>
    </row>
    <row r="14" spans="1:17" ht="15" customHeight="1">
      <c r="A14" s="168"/>
      <c r="B14" s="156"/>
      <c r="C14" s="219"/>
      <c r="D14" s="1725" t="s">
        <v>615</v>
      </c>
      <c r="E14" s="1725"/>
      <c r="F14" s="1725"/>
      <c r="G14" s="305">
        <v>0</v>
      </c>
      <c r="H14" s="305">
        <v>0</v>
      </c>
      <c r="I14" s="156"/>
      <c r="J14" s="156"/>
      <c r="L14" s="1724" t="s">
        <v>694</v>
      </c>
      <c r="M14" s="1724"/>
      <c r="N14" s="1724"/>
      <c r="O14" s="305">
        <f>+ECSF!D29</f>
        <v>0</v>
      </c>
      <c r="P14" s="305">
        <v>0</v>
      </c>
      <c r="Q14" s="167"/>
    </row>
    <row r="15" spans="1:17" ht="15" customHeight="1">
      <c r="A15" s="168"/>
      <c r="B15" s="156"/>
      <c r="C15" s="219"/>
      <c r="D15" s="1725" t="s">
        <v>766</v>
      </c>
      <c r="E15" s="1725"/>
      <c r="F15" s="1725"/>
      <c r="G15" s="305"/>
      <c r="H15" s="305"/>
      <c r="I15" s="156"/>
      <c r="J15" s="156"/>
      <c r="L15" s="1724" t="s">
        <v>696</v>
      </c>
      <c r="M15" s="1724"/>
      <c r="N15" s="1724"/>
      <c r="O15" s="305">
        <f>+ECSF!D30</f>
        <v>0</v>
      </c>
      <c r="P15" s="305">
        <v>0</v>
      </c>
      <c r="Q15" s="167"/>
    </row>
    <row r="16" spans="1:17" ht="15" customHeight="1">
      <c r="A16" s="168"/>
      <c r="B16" s="156"/>
      <c r="C16" s="306"/>
      <c r="D16" s="1725" t="s">
        <v>767</v>
      </c>
      <c r="E16" s="1725"/>
      <c r="F16" s="1725"/>
      <c r="G16" s="305">
        <v>0</v>
      </c>
      <c r="H16" s="305">
        <v>0</v>
      </c>
      <c r="I16" s="156"/>
      <c r="J16" s="156"/>
      <c r="K16" s="302"/>
      <c r="L16" s="1724" t="s">
        <v>768</v>
      </c>
      <c r="M16" s="1724"/>
      <c r="N16" s="1724"/>
      <c r="O16" s="305">
        <f>+ECSF!D25-O14-O15</f>
        <v>5154996.700000003</v>
      </c>
      <c r="P16" s="305">
        <v>4591991.4999999963</v>
      </c>
      <c r="Q16" s="167"/>
    </row>
    <row r="17" spans="1:17" ht="15" customHeight="1">
      <c r="A17" s="168"/>
      <c r="B17" s="156"/>
      <c r="C17" s="306"/>
      <c r="D17" s="1725" t="s">
        <v>619</v>
      </c>
      <c r="E17" s="1725"/>
      <c r="F17" s="1725"/>
      <c r="G17" s="305">
        <v>0</v>
      </c>
      <c r="H17" s="305">
        <v>0</v>
      </c>
      <c r="I17" s="156"/>
      <c r="J17" s="156"/>
      <c r="K17" s="302"/>
      <c r="Q17" s="167"/>
    </row>
    <row r="18" spans="1:17" ht="15" customHeight="1">
      <c r="A18" s="168"/>
      <c r="B18" s="156"/>
      <c r="C18" s="306"/>
      <c r="D18" s="1725" t="s">
        <v>620</v>
      </c>
      <c r="E18" s="1725"/>
      <c r="F18" s="1725"/>
      <c r="G18" s="305">
        <v>0</v>
      </c>
      <c r="H18" s="305">
        <v>0</v>
      </c>
      <c r="I18" s="156"/>
      <c r="J18" s="156"/>
      <c r="K18" s="307" t="s">
        <v>227</v>
      </c>
      <c r="L18" s="307"/>
      <c r="M18" s="307"/>
      <c r="N18" s="307"/>
      <c r="O18" s="304">
        <f>SUM(O19:O21)</f>
        <v>58797256.180000082</v>
      </c>
      <c r="P18" s="304">
        <f>SUM(P19:P21)</f>
        <v>89478327.299999967</v>
      </c>
      <c r="Q18" s="167"/>
    </row>
    <row r="19" spans="1:17" ht="15" customHeight="1">
      <c r="A19" s="168"/>
      <c r="B19" s="156"/>
      <c r="C19" s="306"/>
      <c r="D19" s="1725" t="s">
        <v>622</v>
      </c>
      <c r="E19" s="1725"/>
      <c r="F19" s="1725"/>
      <c r="G19" s="305">
        <v>0</v>
      </c>
      <c r="H19" s="305">
        <v>0</v>
      </c>
      <c r="I19" s="156"/>
      <c r="J19" s="156"/>
      <c r="K19" s="302"/>
      <c r="L19" s="306" t="s">
        <v>694</v>
      </c>
      <c r="M19" s="306"/>
      <c r="N19" s="306"/>
      <c r="O19" s="305">
        <f>+ECSF!E29</f>
        <v>58324027.540000081</v>
      </c>
      <c r="P19" s="305">
        <v>83329154.029999971</v>
      </c>
      <c r="Q19" s="167"/>
    </row>
    <row r="20" spans="1:17" ht="15" customHeight="1">
      <c r="A20" s="168"/>
      <c r="B20" s="156"/>
      <c r="C20" s="306"/>
      <c r="D20" s="1725" t="s">
        <v>624</v>
      </c>
      <c r="E20" s="1725"/>
      <c r="F20" s="1725"/>
      <c r="G20" s="305">
        <f>+EA!D18</f>
        <v>98034207.450000018</v>
      </c>
      <c r="H20" s="305">
        <v>91363023.789999992</v>
      </c>
      <c r="I20" s="156"/>
      <c r="J20" s="156"/>
      <c r="K20" s="302"/>
      <c r="L20" s="1724" t="s">
        <v>696</v>
      </c>
      <c r="M20" s="1724"/>
      <c r="N20" s="1724"/>
      <c r="O20" s="305">
        <f>+ECSF!E30</f>
        <v>86844.949999999255</v>
      </c>
      <c r="P20" s="305">
        <v>3269173.2699999996</v>
      </c>
      <c r="Q20" s="167"/>
    </row>
    <row r="21" spans="1:17" ht="28.5" customHeight="1">
      <c r="A21" s="168"/>
      <c r="B21" s="156"/>
      <c r="C21" s="306"/>
      <c r="D21" s="1725" t="s">
        <v>626</v>
      </c>
      <c r="E21" s="1725"/>
      <c r="F21" s="1725"/>
      <c r="G21" s="305">
        <v>0</v>
      </c>
      <c r="H21" s="305">
        <v>0</v>
      </c>
      <c r="I21" s="156"/>
      <c r="J21" s="156"/>
      <c r="L21" s="1724" t="s">
        <v>769</v>
      </c>
      <c r="M21" s="1724"/>
      <c r="N21" s="1724"/>
      <c r="O21" s="305">
        <f>+ECSF!E25-O19-O20</f>
        <v>386383.69000000134</v>
      </c>
      <c r="P21" s="305">
        <v>2879999.9999999963</v>
      </c>
      <c r="Q21" s="167"/>
    </row>
    <row r="22" spans="1:17" ht="15" customHeight="1">
      <c r="A22" s="168"/>
      <c r="B22" s="156"/>
      <c r="C22" s="306"/>
      <c r="D22" s="1725" t="s">
        <v>631</v>
      </c>
      <c r="E22" s="1725"/>
      <c r="F22" s="1725"/>
      <c r="G22" s="305">
        <v>0</v>
      </c>
      <c r="H22" s="305">
        <v>0</v>
      </c>
      <c r="I22" s="156"/>
      <c r="J22" s="156"/>
      <c r="K22" s="1723" t="s">
        <v>770</v>
      </c>
      <c r="L22" s="1723"/>
      <c r="M22" s="1723"/>
      <c r="N22" s="1723"/>
      <c r="O22" s="304">
        <f>O13-O18</f>
        <v>-53642259.480000079</v>
      </c>
      <c r="P22" s="304">
        <f>P13-P18</f>
        <v>-84886335.799999967</v>
      </c>
      <c r="Q22" s="167"/>
    </row>
    <row r="23" spans="1:17" ht="15" customHeight="1">
      <c r="A23" s="168"/>
      <c r="B23" s="156"/>
      <c r="C23" s="306"/>
      <c r="D23" s="1725" t="s">
        <v>771</v>
      </c>
      <c r="E23" s="1725"/>
      <c r="F23" s="1725"/>
      <c r="G23" s="305">
        <f>+EA!D23</f>
        <v>0</v>
      </c>
      <c r="H23" s="305">
        <v>36623839.039999999</v>
      </c>
      <c r="I23" s="156"/>
      <c r="J23" s="156"/>
      <c r="Q23" s="167"/>
    </row>
    <row r="24" spans="1:17" ht="15" customHeight="1">
      <c r="A24" s="168"/>
      <c r="B24" s="156"/>
      <c r="C24" s="306"/>
      <c r="D24" s="1725" t="s">
        <v>772</v>
      </c>
      <c r="E24" s="1725"/>
      <c r="F24" s="248"/>
      <c r="G24" s="305">
        <f>EA!D25+SUM(ECSF!D18:D23)</f>
        <v>25721032.359999999</v>
      </c>
      <c r="H24" s="305">
        <v>11236657.890000002</v>
      </c>
      <c r="I24" s="156"/>
      <c r="Q24" s="167"/>
    </row>
    <row r="25" spans="1:17" ht="15" customHeight="1">
      <c r="A25" s="168"/>
      <c r="B25" s="156"/>
      <c r="C25" s="219"/>
      <c r="D25" s="156"/>
      <c r="E25" s="219"/>
      <c r="F25" s="219"/>
      <c r="G25" s="302"/>
      <c r="H25" s="302"/>
      <c r="I25" s="156"/>
      <c r="J25" s="1723" t="s">
        <v>773</v>
      </c>
      <c r="K25" s="1723"/>
      <c r="L25" s="1723"/>
      <c r="M25" s="1723"/>
      <c r="N25" s="1723"/>
      <c r="Q25" s="167"/>
    </row>
    <row r="26" spans="1:17" ht="15" customHeight="1">
      <c r="A26" s="168"/>
      <c r="B26" s="156"/>
      <c r="C26" s="1723" t="s">
        <v>227</v>
      </c>
      <c r="D26" s="1723"/>
      <c r="E26" s="1723"/>
      <c r="F26" s="1723"/>
      <c r="G26" s="304">
        <f>SUM(G27:G45)</f>
        <v>57700900.819999993</v>
      </c>
      <c r="H26" s="304">
        <f>SUM(H27:H45)</f>
        <v>71080689.739999995</v>
      </c>
      <c r="I26" s="156"/>
      <c r="J26" s="156"/>
      <c r="K26" s="219"/>
      <c r="L26" s="156"/>
      <c r="M26" s="248"/>
      <c r="N26" s="248"/>
      <c r="O26" s="303"/>
      <c r="P26" s="303"/>
      <c r="Q26" s="167"/>
    </row>
    <row r="27" spans="1:17" ht="15" customHeight="1">
      <c r="A27" s="168"/>
      <c r="B27" s="156"/>
      <c r="C27" s="307"/>
      <c r="D27" s="1725" t="s">
        <v>169</v>
      </c>
      <c r="E27" s="1725"/>
      <c r="F27" s="1725"/>
      <c r="G27" s="305">
        <f>EA!I12</f>
        <v>15074778.560000001</v>
      </c>
      <c r="H27" s="305">
        <v>14762712.049999997</v>
      </c>
      <c r="I27" s="156"/>
      <c r="J27" s="156"/>
      <c r="K27" s="307" t="s">
        <v>226</v>
      </c>
      <c r="L27" s="307"/>
      <c r="M27" s="307"/>
      <c r="N27" s="307"/>
      <c r="O27" s="304">
        <f>O28+O31</f>
        <v>0</v>
      </c>
      <c r="P27" s="304">
        <f>P28+P31</f>
        <v>854119.01999999955</v>
      </c>
      <c r="Q27" s="167"/>
    </row>
    <row r="28" spans="1:17" ht="15" customHeight="1">
      <c r="A28" s="168"/>
      <c r="B28" s="156"/>
      <c r="C28" s="307"/>
      <c r="D28" s="1725" t="s">
        <v>167</v>
      </c>
      <c r="E28" s="1725"/>
      <c r="F28" s="1725"/>
      <c r="G28" s="305">
        <f>EA!I13</f>
        <v>862793.71</v>
      </c>
      <c r="H28" s="305">
        <v>858269.25</v>
      </c>
      <c r="I28" s="156"/>
      <c r="L28" s="306" t="s">
        <v>228</v>
      </c>
      <c r="M28" s="306"/>
      <c r="N28" s="306"/>
      <c r="O28" s="305">
        <f>SUM(O29:O30)</f>
        <v>0</v>
      </c>
      <c r="P28" s="305">
        <v>0</v>
      </c>
      <c r="Q28" s="167"/>
    </row>
    <row r="29" spans="1:17" ht="15" customHeight="1">
      <c r="A29" s="168"/>
      <c r="B29" s="156"/>
      <c r="C29" s="307"/>
      <c r="D29" s="1725" t="s">
        <v>168</v>
      </c>
      <c r="E29" s="1725"/>
      <c r="F29" s="1725"/>
      <c r="G29" s="305">
        <f>EA!I14</f>
        <v>35452187.299999997</v>
      </c>
      <c r="H29" s="305">
        <v>36082117.920000002</v>
      </c>
      <c r="I29" s="156"/>
      <c r="J29" s="156"/>
      <c r="K29" s="307"/>
      <c r="L29" s="306" t="s">
        <v>774</v>
      </c>
      <c r="M29" s="306"/>
      <c r="N29" s="306"/>
      <c r="O29" s="305">
        <v>0</v>
      </c>
      <c r="P29" s="305">
        <v>0</v>
      </c>
      <c r="Q29" s="167"/>
    </row>
    <row r="30" spans="1:17" ht="15" customHeight="1">
      <c r="A30" s="168"/>
      <c r="B30" s="156"/>
      <c r="C30" s="219"/>
      <c r="D30" s="156"/>
      <c r="E30" s="219"/>
      <c r="F30" s="219"/>
      <c r="G30" s="302"/>
      <c r="H30" s="302"/>
      <c r="I30" s="156"/>
      <c r="J30" s="156"/>
      <c r="K30" s="307"/>
      <c r="L30" s="306" t="s">
        <v>775</v>
      </c>
      <c r="M30" s="306"/>
      <c r="N30" s="306"/>
      <c r="O30" s="305">
        <v>0</v>
      </c>
      <c r="P30" s="305">
        <v>0</v>
      </c>
      <c r="Q30" s="167"/>
    </row>
    <row r="31" spans="1:17" ht="15" customHeight="1">
      <c r="A31" s="168"/>
      <c r="B31" s="156"/>
      <c r="C31" s="307"/>
      <c r="D31" s="1725" t="s">
        <v>623</v>
      </c>
      <c r="E31" s="1725"/>
      <c r="F31" s="1725"/>
      <c r="G31" s="305">
        <f>+EA!I17</f>
        <v>149551.82</v>
      </c>
      <c r="H31" s="305">
        <v>116363.09</v>
      </c>
      <c r="I31" s="156"/>
      <c r="J31" s="156"/>
      <c r="K31" s="307"/>
      <c r="L31" s="1724" t="s">
        <v>776</v>
      </c>
      <c r="M31" s="1724"/>
      <c r="N31" s="1724"/>
      <c r="O31" s="305">
        <f>+ECSF!I13</f>
        <v>0</v>
      </c>
      <c r="P31" s="305">
        <v>854119.01999999955</v>
      </c>
      <c r="Q31" s="167"/>
    </row>
    <row r="32" spans="1:17" ht="15" customHeight="1">
      <c r="A32" s="168"/>
      <c r="B32" s="156"/>
      <c r="C32" s="307"/>
      <c r="D32" s="1725" t="s">
        <v>777</v>
      </c>
      <c r="E32" s="1725"/>
      <c r="F32" s="1725"/>
      <c r="G32" s="305">
        <v>0</v>
      </c>
      <c r="H32" s="305">
        <v>0</v>
      </c>
      <c r="I32" s="156"/>
      <c r="J32" s="156"/>
      <c r="K32" s="302"/>
      <c r="Q32" s="167"/>
    </row>
    <row r="33" spans="1:17" ht="15" customHeight="1">
      <c r="A33" s="168"/>
      <c r="B33" s="156"/>
      <c r="C33" s="307"/>
      <c r="D33" s="1725" t="s">
        <v>778</v>
      </c>
      <c r="E33" s="1725"/>
      <c r="F33" s="1725"/>
      <c r="G33" s="305">
        <f>EA!I19</f>
        <v>0</v>
      </c>
      <c r="H33" s="305">
        <v>0</v>
      </c>
      <c r="I33" s="156"/>
      <c r="J33" s="156"/>
      <c r="K33" s="307" t="s">
        <v>227</v>
      </c>
      <c r="L33" s="307"/>
      <c r="M33" s="307"/>
      <c r="N33" s="307"/>
      <c r="O33" s="304">
        <f>O34+O37</f>
        <v>582145.46</v>
      </c>
      <c r="P33" s="304">
        <f>P34+P37</f>
        <v>0</v>
      </c>
      <c r="Q33" s="167"/>
    </row>
    <row r="34" spans="1:17" ht="15" customHeight="1">
      <c r="A34" s="168"/>
      <c r="B34" s="156"/>
      <c r="C34" s="307"/>
      <c r="D34" s="1725" t="s">
        <v>628</v>
      </c>
      <c r="E34" s="1725"/>
      <c r="F34" s="1725"/>
      <c r="G34" s="305">
        <v>0</v>
      </c>
      <c r="H34" s="305">
        <v>0</v>
      </c>
      <c r="I34" s="156"/>
      <c r="J34" s="156"/>
      <c r="L34" s="306" t="s">
        <v>229</v>
      </c>
      <c r="M34" s="306"/>
      <c r="N34" s="306"/>
      <c r="O34" s="305">
        <f>SUM(O35:O36)</f>
        <v>0</v>
      </c>
      <c r="P34" s="305">
        <v>0</v>
      </c>
      <c r="Q34" s="167"/>
    </row>
    <row r="35" spans="1:17" ht="15" customHeight="1">
      <c r="A35" s="168"/>
      <c r="B35" s="156"/>
      <c r="C35" s="307"/>
      <c r="D35" s="1725" t="s">
        <v>630</v>
      </c>
      <c r="E35" s="1725"/>
      <c r="F35" s="1725"/>
      <c r="G35" s="305">
        <f>+EA!I21</f>
        <v>644663.06000000006</v>
      </c>
      <c r="H35" s="305">
        <v>542204.9</v>
      </c>
      <c r="I35" s="156"/>
      <c r="J35" s="156"/>
      <c r="K35" s="307"/>
      <c r="L35" s="306" t="s">
        <v>774</v>
      </c>
      <c r="M35" s="306"/>
      <c r="N35" s="306"/>
      <c r="O35" s="305">
        <v>0</v>
      </c>
      <c r="P35" s="305">
        <v>0</v>
      </c>
      <c r="Q35" s="167"/>
    </row>
    <row r="36" spans="1:17" ht="15" customHeight="1">
      <c r="A36" s="168"/>
      <c r="B36" s="156"/>
      <c r="C36" s="307"/>
      <c r="D36" s="1725" t="s">
        <v>632</v>
      </c>
      <c r="E36" s="1725"/>
      <c r="F36" s="1725"/>
      <c r="G36" s="305">
        <v>0</v>
      </c>
      <c r="H36" s="305">
        <v>0</v>
      </c>
      <c r="I36" s="156"/>
      <c r="K36" s="307"/>
      <c r="L36" s="306" t="s">
        <v>775</v>
      </c>
      <c r="M36" s="306"/>
      <c r="N36" s="306"/>
      <c r="O36" s="305">
        <v>0</v>
      </c>
      <c r="P36" s="305">
        <v>0</v>
      </c>
      <c r="Q36" s="167"/>
    </row>
    <row r="37" spans="1:17" ht="15" customHeight="1">
      <c r="A37" s="168"/>
      <c r="B37" s="156"/>
      <c r="C37" s="307"/>
      <c r="D37" s="1725" t="s">
        <v>634</v>
      </c>
      <c r="E37" s="1725"/>
      <c r="F37" s="1725"/>
      <c r="G37" s="305">
        <v>0</v>
      </c>
      <c r="H37" s="305">
        <v>0</v>
      </c>
      <c r="I37" s="156"/>
      <c r="J37" s="156"/>
      <c r="K37" s="307"/>
      <c r="L37" s="1724" t="s">
        <v>779</v>
      </c>
      <c r="M37" s="1724"/>
      <c r="N37" s="1724"/>
      <c r="O37" s="305">
        <f>+ECSF!J13</f>
        <v>582145.46</v>
      </c>
      <c r="P37" s="305">
        <v>0</v>
      </c>
      <c r="Q37" s="167"/>
    </row>
    <row r="38" spans="1:17" ht="15" customHeight="1">
      <c r="A38" s="168"/>
      <c r="B38" s="156"/>
      <c r="C38" s="307"/>
      <c r="D38" s="1725" t="s">
        <v>635</v>
      </c>
      <c r="E38" s="1725"/>
      <c r="F38" s="1725"/>
      <c r="G38" s="305">
        <f>EA!I24</f>
        <v>0</v>
      </c>
      <c r="H38" s="305">
        <v>0</v>
      </c>
      <c r="I38" s="156"/>
      <c r="J38" s="156"/>
      <c r="K38" s="302"/>
      <c r="Q38" s="167"/>
    </row>
    <row r="39" spans="1:17" ht="15" customHeight="1">
      <c r="A39" s="168"/>
      <c r="B39" s="156"/>
      <c r="C39" s="307"/>
      <c r="D39" s="1725" t="s">
        <v>637</v>
      </c>
      <c r="E39" s="1725"/>
      <c r="F39" s="1725"/>
      <c r="G39" s="305">
        <v>0</v>
      </c>
      <c r="H39" s="305">
        <v>0</v>
      </c>
      <c r="I39" s="156"/>
      <c r="J39" s="156"/>
      <c r="K39" s="1723" t="s">
        <v>780</v>
      </c>
      <c r="L39" s="1723"/>
      <c r="M39" s="1723"/>
      <c r="N39" s="1723"/>
      <c r="O39" s="304">
        <f>O27-O33</f>
        <v>-582145.46</v>
      </c>
      <c r="P39" s="304">
        <f>P27-P33</f>
        <v>854119.01999999955</v>
      </c>
      <c r="Q39" s="167"/>
    </row>
    <row r="40" spans="1:17" ht="15" customHeight="1">
      <c r="A40" s="168"/>
      <c r="B40" s="156"/>
      <c r="C40" s="219"/>
      <c r="D40" s="156"/>
      <c r="E40" s="219"/>
      <c r="F40" s="219"/>
      <c r="G40" s="302"/>
      <c r="H40" s="302"/>
      <c r="I40" s="156"/>
      <c r="J40" s="156"/>
      <c r="Q40" s="167"/>
    </row>
    <row r="41" spans="1:17" ht="15" customHeight="1">
      <c r="A41" s="168"/>
      <c r="B41" s="156"/>
      <c r="C41" s="307"/>
      <c r="D41" s="1725" t="s">
        <v>781</v>
      </c>
      <c r="E41" s="1725"/>
      <c r="F41" s="1725"/>
      <c r="G41" s="305">
        <v>0</v>
      </c>
      <c r="H41" s="305">
        <v>0</v>
      </c>
      <c r="I41" s="156"/>
      <c r="J41" s="156"/>
      <c r="Q41" s="167"/>
    </row>
    <row r="42" spans="1:17" ht="15" customHeight="1">
      <c r="A42" s="168"/>
      <c r="B42" s="156"/>
      <c r="C42" s="307"/>
      <c r="D42" s="1725" t="s">
        <v>758</v>
      </c>
      <c r="E42" s="1725"/>
      <c r="F42" s="1725"/>
      <c r="G42" s="305">
        <v>0</v>
      </c>
      <c r="H42" s="305">
        <v>0</v>
      </c>
      <c r="I42" s="156"/>
      <c r="J42" s="1726" t="s">
        <v>782</v>
      </c>
      <c r="K42" s="1726"/>
      <c r="L42" s="1726"/>
      <c r="M42" s="1726"/>
      <c r="N42" s="1726"/>
      <c r="O42" s="308">
        <f>G47+O22+O39</f>
        <v>11829934.049999945</v>
      </c>
      <c r="P42" s="308">
        <f>H47+P22+P39</f>
        <v>-15889385.799999963</v>
      </c>
      <c r="Q42" s="167"/>
    </row>
    <row r="43" spans="1:17" ht="15" customHeight="1">
      <c r="A43" s="168"/>
      <c r="B43" s="156"/>
      <c r="C43" s="307"/>
      <c r="D43" s="1725" t="s">
        <v>645</v>
      </c>
      <c r="E43" s="1725"/>
      <c r="F43" s="1725"/>
      <c r="G43" s="305">
        <v>0</v>
      </c>
      <c r="H43" s="305">
        <v>0</v>
      </c>
      <c r="I43" s="156"/>
      <c r="Q43" s="167"/>
    </row>
    <row r="44" spans="1:17" ht="15" customHeight="1">
      <c r="A44" s="168"/>
      <c r="B44" s="156"/>
      <c r="C44" s="302"/>
      <c r="D44" s="302"/>
      <c r="E44" s="302"/>
      <c r="F44" s="302"/>
      <c r="G44" s="302"/>
      <c r="H44" s="302"/>
      <c r="I44" s="156"/>
      <c r="Q44" s="167"/>
    </row>
    <row r="45" spans="1:17" ht="15" customHeight="1">
      <c r="A45" s="168"/>
      <c r="B45" s="156"/>
      <c r="C45" s="307"/>
      <c r="D45" s="1725" t="s">
        <v>783</v>
      </c>
      <c r="E45" s="1725"/>
      <c r="F45" s="1725"/>
      <c r="G45" s="305">
        <f>EA!I39+SUM(ECSF!E18:E23)-EVHP!F42</f>
        <v>5516926.3699999992</v>
      </c>
      <c r="H45" s="305">
        <v>18719022.529999997</v>
      </c>
      <c r="I45" s="156"/>
      <c r="Q45" s="167"/>
    </row>
    <row r="46" spans="1:17">
      <c r="A46" s="168"/>
      <c r="B46" s="156"/>
      <c r="C46" s="219"/>
      <c r="D46" s="156"/>
      <c r="E46" s="219"/>
      <c r="F46" s="219"/>
      <c r="G46" s="302"/>
      <c r="H46" s="302"/>
      <c r="I46" s="156"/>
      <c r="J46" s="1726" t="s">
        <v>784</v>
      </c>
      <c r="K46" s="1726"/>
      <c r="L46" s="1726"/>
      <c r="M46" s="1726"/>
      <c r="N46" s="1726"/>
      <c r="O46" s="308">
        <f>+P47</f>
        <v>192432922.05999997</v>
      </c>
      <c r="P46" s="308">
        <v>208322307.85999992</v>
      </c>
      <c r="Q46" s="167"/>
    </row>
    <row r="47" spans="1:17" s="312" customFormat="1">
      <c r="A47" s="309"/>
      <c r="B47" s="310"/>
      <c r="C47" s="1723" t="s">
        <v>785</v>
      </c>
      <c r="D47" s="1723"/>
      <c r="E47" s="1723"/>
      <c r="F47" s="1723"/>
      <c r="G47" s="308">
        <f>G13-G26</f>
        <v>66054338.990000024</v>
      </c>
      <c r="H47" s="308">
        <f>H13-H26</f>
        <v>68142830.980000004</v>
      </c>
      <c r="I47" s="310"/>
      <c r="J47" s="1726" t="s">
        <v>786</v>
      </c>
      <c r="K47" s="1726"/>
      <c r="L47" s="1726"/>
      <c r="M47" s="1726"/>
      <c r="N47" s="1726"/>
      <c r="O47" s="308">
        <f>+O46+O42</f>
        <v>204262856.10999992</v>
      </c>
      <c r="P47" s="308">
        <f>+P42+P46</f>
        <v>192432922.05999997</v>
      </c>
      <c r="Q47" s="311"/>
    </row>
    <row r="48" spans="1:17" s="312" customFormat="1">
      <c r="A48" s="309"/>
      <c r="B48" s="310"/>
      <c r="C48" s="307"/>
      <c r="D48" s="307"/>
      <c r="E48" s="307"/>
      <c r="F48" s="307"/>
      <c r="G48" s="308"/>
      <c r="H48" s="308"/>
      <c r="I48" s="310"/>
      <c r="Q48" s="311"/>
    </row>
    <row r="49" spans="1:17" ht="14.25" customHeight="1">
      <c r="A49" s="189"/>
      <c r="B49" s="190"/>
      <c r="C49" s="313"/>
      <c r="D49" s="313"/>
      <c r="E49" s="313"/>
      <c r="F49" s="313"/>
      <c r="G49" s="314"/>
      <c r="H49" s="314"/>
      <c r="I49" s="190"/>
      <c r="J49" s="196"/>
      <c r="K49" s="196"/>
      <c r="L49" s="196"/>
      <c r="M49" s="196"/>
      <c r="N49" s="196"/>
      <c r="O49" s="196"/>
      <c r="P49" s="196"/>
      <c r="Q49" s="192"/>
    </row>
    <row r="50" spans="1:17" ht="14.25" customHeight="1">
      <c r="A50" s="156"/>
      <c r="I50" s="156"/>
      <c r="J50" s="156"/>
      <c r="K50" s="302"/>
      <c r="L50" s="302"/>
      <c r="M50" s="302"/>
      <c r="N50" s="302"/>
      <c r="O50" s="303"/>
      <c r="P50" s="303"/>
    </row>
    <row r="51" spans="1:17" ht="6" customHeight="1">
      <c r="A51" s="156"/>
      <c r="I51" s="156"/>
    </row>
    <row r="52" spans="1:17" ht="15" customHeight="1">
      <c r="B52" s="170" t="s">
        <v>664</v>
      </c>
      <c r="C52" s="170"/>
      <c r="D52" s="170"/>
      <c r="E52" s="170"/>
      <c r="F52" s="170"/>
      <c r="G52" s="170"/>
      <c r="H52" s="170"/>
      <c r="I52" s="170"/>
      <c r="J52" s="170"/>
      <c r="O52" s="684"/>
    </row>
    <row r="53" spans="1:17" ht="22.5" customHeight="1">
      <c r="B53" s="170"/>
      <c r="C53" s="193"/>
      <c r="D53" s="194"/>
      <c r="E53" s="194"/>
      <c r="G53" s="195"/>
      <c r="H53" s="193"/>
      <c r="I53" s="194"/>
      <c r="J53" s="194"/>
      <c r="O53" s="290"/>
    </row>
    <row r="54" spans="1:17" ht="29.25" customHeight="1">
      <c r="B54" s="170"/>
      <c r="C54" s="193"/>
      <c r="D54" s="233"/>
      <c r="E54" s="315"/>
      <c r="F54" s="233"/>
      <c r="G54" s="233"/>
      <c r="H54" s="193"/>
      <c r="I54" s="194"/>
      <c r="J54" s="194"/>
      <c r="L54" s="153"/>
      <c r="M54" s="316"/>
      <c r="N54" s="316"/>
      <c r="O54" s="153"/>
    </row>
    <row r="55" spans="1:17" ht="14.1" customHeight="1">
      <c r="B55" s="201"/>
      <c r="D55" s="1615" t="s">
        <v>2867</v>
      </c>
      <c r="E55" s="1615"/>
      <c r="F55" s="1690"/>
      <c r="G55" s="1690"/>
      <c r="H55" s="157"/>
      <c r="I55" s="171"/>
      <c r="L55" s="1690" t="s">
        <v>754</v>
      </c>
      <c r="M55" s="1615"/>
      <c r="N55" s="1615"/>
      <c r="O55" s="1690"/>
    </row>
    <row r="56" spans="1:17" ht="14.1" customHeight="1">
      <c r="B56" s="203"/>
      <c r="D56" s="1610" t="s">
        <v>1765</v>
      </c>
      <c r="E56" s="1610"/>
      <c r="F56" s="1610"/>
      <c r="G56" s="1610"/>
      <c r="H56" s="157"/>
      <c r="I56" s="171"/>
      <c r="L56" s="1610" t="s">
        <v>666</v>
      </c>
      <c r="M56" s="1610"/>
      <c r="N56" s="1610"/>
      <c r="O56" s="1610"/>
    </row>
    <row r="69" spans="14:15">
      <c r="N69" s="449" t="s">
        <v>951</v>
      </c>
      <c r="O69" s="448">
        <f>+O47-ESF!D17</f>
        <v>0.6499999463558197</v>
      </c>
    </row>
  </sheetData>
  <sheetProtection formatCells="0" selectLockedCells="1"/>
  <mergeCells count="58">
    <mergeCell ref="L56:O56"/>
    <mergeCell ref="D43:F43"/>
    <mergeCell ref="D45:F45"/>
    <mergeCell ref="J46:N46"/>
    <mergeCell ref="C47:F47"/>
    <mergeCell ref="J47:N47"/>
    <mergeCell ref="L55:O55"/>
    <mergeCell ref="D55:E55"/>
    <mergeCell ref="F55:G55"/>
    <mergeCell ref="D56:E56"/>
    <mergeCell ref="F56:G56"/>
    <mergeCell ref="D38:F38"/>
    <mergeCell ref="D39:F39"/>
    <mergeCell ref="K39:N39"/>
    <mergeCell ref="D41:F41"/>
    <mergeCell ref="D42:F42"/>
    <mergeCell ref="J42:N42"/>
    <mergeCell ref="K22:N22"/>
    <mergeCell ref="D23:F23"/>
    <mergeCell ref="D24:E24"/>
    <mergeCell ref="J25:N25"/>
    <mergeCell ref="L37:N37"/>
    <mergeCell ref="D27:F27"/>
    <mergeCell ref="D28:F28"/>
    <mergeCell ref="D29:F29"/>
    <mergeCell ref="D31:F31"/>
    <mergeCell ref="L31:N31"/>
    <mergeCell ref="D32:F32"/>
    <mergeCell ref="D33:F33"/>
    <mergeCell ref="D34:F34"/>
    <mergeCell ref="D35:F35"/>
    <mergeCell ref="D36:F36"/>
    <mergeCell ref="D37:F37"/>
    <mergeCell ref="C26:F26"/>
    <mergeCell ref="D17:F17"/>
    <mergeCell ref="D18:F18"/>
    <mergeCell ref="D19:F19"/>
    <mergeCell ref="D20:F20"/>
    <mergeCell ref="D22:F22"/>
    <mergeCell ref="D21:F21"/>
    <mergeCell ref="L21:N21"/>
    <mergeCell ref="D14:F14"/>
    <mergeCell ref="L14:N14"/>
    <mergeCell ref="D15:F15"/>
    <mergeCell ref="L15:N15"/>
    <mergeCell ref="D16:F16"/>
    <mergeCell ref="L16:N16"/>
    <mergeCell ref="B11:F11"/>
    <mergeCell ref="J11:N11"/>
    <mergeCell ref="C13:F13"/>
    <mergeCell ref="K13:N13"/>
    <mergeCell ref="L20:N20"/>
    <mergeCell ref="E1:O1"/>
    <mergeCell ref="E2:O2"/>
    <mergeCell ref="E3:O3"/>
    <mergeCell ref="E4:O4"/>
    <mergeCell ref="B8:E8"/>
    <mergeCell ref="J8:M8"/>
  </mergeCells>
  <printOptions verticalCentered="1"/>
  <pageMargins left="0.32" right="0.25" top="0" bottom="0" header="0" footer="0"/>
  <pageSetup scale="6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6C90-18F0-4F76-AC9E-E3E4CEB88B26}">
  <sheetPr>
    <pageSetUpPr fitToPage="1"/>
  </sheetPr>
  <dimension ref="A1:I81"/>
  <sheetViews>
    <sheetView workbookViewId="0">
      <selection activeCell="C65" sqref="C65"/>
    </sheetView>
  </sheetViews>
  <sheetFormatPr baseColWidth="10" defaultColWidth="11.42578125" defaultRowHeight="12"/>
  <cols>
    <col min="1" max="1" width="2.7109375" style="921" customWidth="1"/>
    <col min="2" max="2" width="66.28515625" style="921" customWidth="1"/>
    <col min="3" max="4" width="27.5703125" style="921" customWidth="1"/>
    <col min="5" max="5" width="11.42578125" style="921"/>
    <col min="6" max="6" width="12.85546875" style="921" bestFit="1" customWidth="1"/>
    <col min="7" max="16384" width="11.42578125" style="921"/>
  </cols>
  <sheetData>
    <row r="1" spans="1:9" ht="12.75" thickBot="1">
      <c r="A1" s="883"/>
      <c r="B1" s="883"/>
      <c r="C1" s="883"/>
      <c r="D1" s="883"/>
      <c r="E1" s="883"/>
      <c r="F1" s="883"/>
      <c r="G1" s="883"/>
      <c r="H1" s="883"/>
      <c r="I1" s="883"/>
    </row>
    <row r="2" spans="1:9">
      <c r="A2" s="883"/>
      <c r="B2" s="1733" t="str">
        <f>+'2 esf sif'!B2:H2</f>
        <v>PROMOTORA PARA EL DESARROLLO ECONÓMICO DE CHIHUAHUA</v>
      </c>
      <c r="C2" s="1734"/>
      <c r="D2" s="1735"/>
      <c r="E2" s="883"/>
      <c r="F2" s="883"/>
      <c r="G2" s="883"/>
      <c r="H2" s="883"/>
      <c r="I2" s="883"/>
    </row>
    <row r="3" spans="1:9">
      <c r="A3" s="883"/>
      <c r="B3" s="1736" t="s">
        <v>763</v>
      </c>
      <c r="C3" s="1737"/>
      <c r="D3" s="1738"/>
      <c r="E3" s="883"/>
      <c r="F3" s="883"/>
      <c r="G3" s="883"/>
      <c r="H3" s="883"/>
      <c r="I3" s="883"/>
    </row>
    <row r="4" spans="1:9" ht="12.75" thickBot="1">
      <c r="A4" s="883"/>
      <c r="B4" s="1739"/>
      <c r="C4" s="1740"/>
      <c r="D4" s="1741"/>
      <c r="E4" s="883"/>
      <c r="F4" s="883"/>
      <c r="G4" s="883"/>
      <c r="H4" s="883"/>
      <c r="I4" s="883"/>
    </row>
    <row r="5" spans="1:9" ht="12.75" thickBot="1">
      <c r="A5" s="883"/>
      <c r="B5" s="922"/>
      <c r="C5" s="923" t="s">
        <v>5631</v>
      </c>
      <c r="D5" s="924" t="s">
        <v>4723</v>
      </c>
      <c r="E5" s="883"/>
      <c r="F5" s="883"/>
      <c r="G5" s="883"/>
      <c r="H5" s="883"/>
      <c r="I5" s="883"/>
    </row>
    <row r="6" spans="1:9">
      <c r="A6" s="883"/>
      <c r="B6" s="1727"/>
      <c r="C6" s="1728"/>
      <c r="D6" s="1729"/>
      <c r="E6" s="883"/>
      <c r="F6" s="883"/>
      <c r="G6" s="883"/>
      <c r="H6" s="883"/>
      <c r="I6" s="883"/>
    </row>
    <row r="7" spans="1:9">
      <c r="A7" s="883"/>
      <c r="B7" s="792" t="s">
        <v>4758</v>
      </c>
      <c r="C7" s="819"/>
      <c r="D7" s="925"/>
      <c r="E7" s="883"/>
      <c r="F7" s="883"/>
      <c r="G7" s="883"/>
      <c r="H7" s="883"/>
      <c r="I7" s="883"/>
    </row>
    <row r="8" spans="1:9" ht="19.5" customHeight="1">
      <c r="A8" s="883"/>
      <c r="B8" s="926" t="s">
        <v>226</v>
      </c>
      <c r="C8" s="927">
        <f>SUM(C9:C18)</f>
        <v>123755239.81000002</v>
      </c>
      <c r="D8" s="928">
        <f>SUM(D9:D18)</f>
        <v>139223520.72</v>
      </c>
      <c r="E8" s="883"/>
      <c r="F8" s="883"/>
      <c r="G8" s="883"/>
      <c r="H8" s="883"/>
      <c r="I8" s="883"/>
    </row>
    <row r="9" spans="1:9">
      <c r="A9" s="883"/>
      <c r="B9" s="929" t="s">
        <v>615</v>
      </c>
      <c r="C9" s="930">
        <v>0</v>
      </c>
      <c r="D9" s="931">
        <v>0</v>
      </c>
      <c r="E9" s="883"/>
      <c r="F9" s="883"/>
      <c r="G9" s="883"/>
      <c r="H9" s="883"/>
      <c r="I9" s="883"/>
    </row>
    <row r="10" spans="1:9">
      <c r="A10" s="883"/>
      <c r="B10" s="929" t="s">
        <v>766</v>
      </c>
      <c r="C10" s="930">
        <v>0</v>
      </c>
      <c r="D10" s="931">
        <v>0</v>
      </c>
      <c r="E10" s="883"/>
      <c r="F10" s="883"/>
      <c r="G10" s="883"/>
      <c r="H10" s="883"/>
      <c r="I10" s="883"/>
    </row>
    <row r="11" spans="1:9">
      <c r="A11" s="883"/>
      <c r="B11" s="929" t="s">
        <v>618</v>
      </c>
      <c r="C11" s="930">
        <v>0</v>
      </c>
      <c r="D11" s="931">
        <v>0</v>
      </c>
      <c r="E11" s="883"/>
      <c r="F11" s="883"/>
      <c r="G11" s="883"/>
      <c r="H11" s="883"/>
      <c r="I11" s="883"/>
    </row>
    <row r="12" spans="1:9">
      <c r="A12" s="883"/>
      <c r="B12" s="929" t="s">
        <v>619</v>
      </c>
      <c r="C12" s="930">
        <v>0</v>
      </c>
      <c r="D12" s="931">
        <v>0</v>
      </c>
      <c r="E12" s="883"/>
      <c r="F12" s="883"/>
      <c r="G12" s="883"/>
      <c r="H12" s="883"/>
      <c r="I12" s="883"/>
    </row>
    <row r="13" spans="1:9">
      <c r="A13" s="883"/>
      <c r="B13" s="929" t="s">
        <v>801</v>
      </c>
      <c r="C13" s="930">
        <v>0</v>
      </c>
      <c r="D13" s="931">
        <v>0</v>
      </c>
      <c r="E13" s="883"/>
      <c r="F13" s="883"/>
      <c r="G13" s="883"/>
      <c r="H13" s="883"/>
      <c r="I13" s="883"/>
    </row>
    <row r="14" spans="1:9">
      <c r="A14" s="883"/>
      <c r="B14" s="929" t="s">
        <v>804</v>
      </c>
      <c r="C14" s="930">
        <v>0</v>
      </c>
      <c r="D14" s="931">
        <v>0</v>
      </c>
      <c r="E14" s="883"/>
      <c r="F14" s="883"/>
      <c r="G14" s="883"/>
      <c r="H14" s="883"/>
      <c r="I14" s="883"/>
    </row>
    <row r="15" spans="1:9">
      <c r="A15" s="883"/>
      <c r="B15" s="929" t="s">
        <v>4726</v>
      </c>
      <c r="C15" s="930">
        <f>+EFE!G20</f>
        <v>98034207.450000018</v>
      </c>
      <c r="D15" s="931">
        <f>+EFE!H20</f>
        <v>91363023.789999992</v>
      </c>
      <c r="E15" s="883"/>
      <c r="F15" s="883"/>
      <c r="G15" s="883"/>
      <c r="H15" s="883"/>
      <c r="I15" s="883"/>
    </row>
    <row r="16" spans="1:9" ht="24">
      <c r="A16" s="883"/>
      <c r="B16" s="929" t="s">
        <v>4728</v>
      </c>
      <c r="C16" s="930">
        <v>0</v>
      </c>
      <c r="D16" s="931">
        <v>0</v>
      </c>
      <c r="E16" s="883"/>
      <c r="F16" s="883"/>
      <c r="G16" s="883"/>
      <c r="H16" s="883"/>
      <c r="I16" s="883"/>
    </row>
    <row r="17" spans="1:9" ht="24">
      <c r="A17" s="883"/>
      <c r="B17" s="929" t="s">
        <v>4729</v>
      </c>
      <c r="C17" s="930">
        <f>+EFE!G23</f>
        <v>0</v>
      </c>
      <c r="D17" s="931">
        <f>+EFE!H23</f>
        <v>36623839.039999999</v>
      </c>
      <c r="E17" s="883"/>
      <c r="F17" s="883"/>
      <c r="G17" s="883"/>
      <c r="H17" s="883"/>
      <c r="I17" s="883"/>
    </row>
    <row r="18" spans="1:9">
      <c r="A18" s="883"/>
      <c r="B18" s="929" t="s">
        <v>772</v>
      </c>
      <c r="C18" s="930">
        <f>+EFE!G24</f>
        <v>25721032.359999999</v>
      </c>
      <c r="D18" s="931">
        <f>+EFE!H24</f>
        <v>11236657.890000002</v>
      </c>
      <c r="E18" s="883"/>
      <c r="F18" s="883"/>
      <c r="G18" s="883"/>
      <c r="H18" s="883"/>
      <c r="I18" s="883"/>
    </row>
    <row r="19" spans="1:9" ht="19.5" customHeight="1">
      <c r="A19" s="883"/>
      <c r="B19" s="926" t="s">
        <v>227</v>
      </c>
      <c r="C19" s="927">
        <f>SUM(C20:C35)</f>
        <v>57700900.819999993</v>
      </c>
      <c r="D19" s="928">
        <f>SUM(D20:D35)</f>
        <v>71080689.739999995</v>
      </c>
      <c r="E19" s="883"/>
      <c r="F19" s="883"/>
      <c r="G19" s="883"/>
      <c r="H19" s="883"/>
      <c r="I19" s="883"/>
    </row>
    <row r="20" spans="1:9">
      <c r="A20" s="883"/>
      <c r="B20" s="929" t="s">
        <v>169</v>
      </c>
      <c r="C20" s="930">
        <f>+EFE!G27</f>
        <v>15074778.560000001</v>
      </c>
      <c r="D20" s="931">
        <f>+EFE!H27</f>
        <v>14762712.049999997</v>
      </c>
      <c r="E20" s="883"/>
      <c r="F20" s="883"/>
      <c r="G20" s="883"/>
      <c r="H20" s="883"/>
      <c r="I20" s="883"/>
    </row>
    <row r="21" spans="1:9">
      <c r="A21" s="883"/>
      <c r="B21" s="929" t="s">
        <v>167</v>
      </c>
      <c r="C21" s="930">
        <f>+EFE!G28</f>
        <v>862793.71</v>
      </c>
      <c r="D21" s="931">
        <f>+EFE!H28</f>
        <v>858269.25</v>
      </c>
      <c r="E21" s="883"/>
      <c r="F21" s="883"/>
      <c r="G21" s="883"/>
      <c r="H21" s="883"/>
      <c r="I21" s="883"/>
    </row>
    <row r="22" spans="1:9">
      <c r="A22" s="883"/>
      <c r="B22" s="929" t="s">
        <v>168</v>
      </c>
      <c r="C22" s="930">
        <f>+EFE!G29</f>
        <v>35452187.299999997</v>
      </c>
      <c r="D22" s="931">
        <f>+EFE!H29</f>
        <v>36082117.920000002</v>
      </c>
      <c r="E22" s="883"/>
      <c r="F22" s="932"/>
      <c r="G22" s="883"/>
      <c r="H22" s="883"/>
      <c r="I22" s="883"/>
    </row>
    <row r="23" spans="1:9">
      <c r="A23" s="883"/>
      <c r="B23" s="929" t="s">
        <v>623</v>
      </c>
      <c r="C23" s="930">
        <f>+EFE!G31</f>
        <v>149551.82</v>
      </c>
      <c r="D23" s="931">
        <f>+EFE!H31</f>
        <v>116363.09</v>
      </c>
      <c r="E23" s="883"/>
      <c r="F23" s="883"/>
      <c r="G23" s="883"/>
      <c r="H23" s="883"/>
      <c r="I23" s="883"/>
    </row>
    <row r="24" spans="1:9">
      <c r="A24" s="883"/>
      <c r="B24" s="929" t="s">
        <v>777</v>
      </c>
      <c r="C24" s="930">
        <v>0</v>
      </c>
      <c r="D24" s="931">
        <v>0</v>
      </c>
      <c r="E24" s="883"/>
      <c r="F24" s="883"/>
      <c r="G24" s="883"/>
      <c r="H24" s="883"/>
      <c r="I24" s="883"/>
    </row>
    <row r="25" spans="1:9">
      <c r="A25" s="883"/>
      <c r="B25" s="929" t="s">
        <v>778</v>
      </c>
      <c r="C25" s="930">
        <f>+EFE!G33</f>
        <v>0</v>
      </c>
      <c r="D25" s="931">
        <f>+EFE!H33</f>
        <v>0</v>
      </c>
      <c r="E25" s="883"/>
      <c r="F25" s="883"/>
      <c r="G25" s="883"/>
      <c r="H25" s="883"/>
      <c r="I25" s="883"/>
    </row>
    <row r="26" spans="1:9">
      <c r="A26" s="883"/>
      <c r="B26" s="929" t="s">
        <v>628</v>
      </c>
      <c r="C26" s="930">
        <v>0</v>
      </c>
      <c r="D26" s="931">
        <v>0</v>
      </c>
      <c r="E26" s="883"/>
      <c r="F26" s="883"/>
      <c r="G26" s="883"/>
      <c r="H26" s="883"/>
      <c r="I26" s="883"/>
    </row>
    <row r="27" spans="1:9">
      <c r="A27" s="883"/>
      <c r="B27" s="929" t="s">
        <v>630</v>
      </c>
      <c r="C27" s="930">
        <f>+EFE!G35</f>
        <v>644663.06000000006</v>
      </c>
      <c r="D27" s="931">
        <f>+EFE!H35</f>
        <v>542204.9</v>
      </c>
      <c r="E27" s="883"/>
      <c r="F27" s="883"/>
      <c r="G27" s="883"/>
      <c r="H27" s="883"/>
      <c r="I27" s="883"/>
    </row>
    <row r="28" spans="1:9">
      <c r="A28" s="883"/>
      <c r="B28" s="929" t="s">
        <v>632</v>
      </c>
      <c r="C28" s="930">
        <v>0</v>
      </c>
      <c r="D28" s="931">
        <v>0</v>
      </c>
      <c r="E28" s="883"/>
      <c r="F28" s="883"/>
      <c r="G28" s="883"/>
      <c r="H28" s="883"/>
      <c r="I28" s="883"/>
    </row>
    <row r="29" spans="1:9">
      <c r="A29" s="883"/>
      <c r="B29" s="929" t="s">
        <v>634</v>
      </c>
      <c r="C29" s="930">
        <v>0</v>
      </c>
      <c r="D29" s="931">
        <v>0</v>
      </c>
      <c r="E29" s="883"/>
      <c r="F29" s="883"/>
      <c r="G29" s="883"/>
      <c r="H29" s="883"/>
      <c r="I29" s="883"/>
    </row>
    <row r="30" spans="1:9">
      <c r="A30" s="883"/>
      <c r="B30" s="929" t="s">
        <v>635</v>
      </c>
      <c r="C30" s="930">
        <v>0</v>
      </c>
      <c r="D30" s="931">
        <v>0</v>
      </c>
      <c r="E30" s="883"/>
      <c r="F30" s="883"/>
      <c r="G30" s="883"/>
      <c r="H30" s="883"/>
      <c r="I30" s="883"/>
    </row>
    <row r="31" spans="1:9">
      <c r="A31" s="883"/>
      <c r="B31" s="929" t="s">
        <v>637</v>
      </c>
      <c r="C31" s="930">
        <v>0</v>
      </c>
      <c r="D31" s="931">
        <v>0</v>
      </c>
      <c r="E31" s="883"/>
      <c r="F31" s="883"/>
      <c r="G31" s="883"/>
      <c r="H31" s="883"/>
      <c r="I31" s="883"/>
    </row>
    <row r="32" spans="1:9">
      <c r="A32" s="883"/>
      <c r="B32" s="929" t="s">
        <v>641</v>
      </c>
      <c r="C32" s="930">
        <v>0</v>
      </c>
      <c r="D32" s="931">
        <v>0</v>
      </c>
      <c r="E32" s="883"/>
      <c r="F32" s="883"/>
      <c r="G32" s="883"/>
      <c r="H32" s="883"/>
      <c r="I32" s="883"/>
    </row>
    <row r="33" spans="1:9">
      <c r="A33" s="883"/>
      <c r="B33" s="929" t="s">
        <v>643</v>
      </c>
      <c r="C33" s="930">
        <v>0</v>
      </c>
      <c r="D33" s="931">
        <v>0</v>
      </c>
      <c r="E33" s="883"/>
      <c r="F33" s="883"/>
      <c r="G33" s="883"/>
      <c r="H33" s="883"/>
      <c r="I33" s="883"/>
    </row>
    <row r="34" spans="1:9">
      <c r="A34" s="883"/>
      <c r="B34" s="929" t="s">
        <v>645</v>
      </c>
      <c r="C34" s="930">
        <v>0</v>
      </c>
      <c r="D34" s="931">
        <v>0</v>
      </c>
      <c r="E34" s="883"/>
      <c r="F34" s="883"/>
      <c r="G34" s="883"/>
      <c r="H34" s="883"/>
      <c r="I34" s="883"/>
    </row>
    <row r="35" spans="1:9">
      <c r="A35" s="883"/>
      <c r="B35" s="929" t="s">
        <v>783</v>
      </c>
      <c r="C35" s="930">
        <f>+EFE!G45</f>
        <v>5516926.3699999992</v>
      </c>
      <c r="D35" s="931">
        <f>+EFE!H45</f>
        <v>18719022.529999997</v>
      </c>
      <c r="E35" s="883"/>
      <c r="F35" s="883"/>
      <c r="G35" s="883"/>
      <c r="H35" s="883"/>
      <c r="I35" s="883"/>
    </row>
    <row r="36" spans="1:9">
      <c r="A36" s="883"/>
      <c r="B36" s="933" t="s">
        <v>785</v>
      </c>
      <c r="C36" s="934">
        <f>C8-C19</f>
        <v>66054338.990000024</v>
      </c>
      <c r="D36" s="825">
        <f>SUM(D8-D19)</f>
        <v>68142830.980000004</v>
      </c>
      <c r="E36" s="883"/>
      <c r="F36" s="883"/>
      <c r="G36" s="883"/>
      <c r="H36" s="883"/>
      <c r="I36" s="883"/>
    </row>
    <row r="37" spans="1:9">
      <c r="A37" s="883"/>
      <c r="B37" s="1727"/>
      <c r="C37" s="1728"/>
      <c r="D37" s="1729"/>
      <c r="E37" s="883"/>
      <c r="F37" s="883"/>
      <c r="G37" s="883"/>
      <c r="H37" s="883"/>
      <c r="I37" s="883"/>
    </row>
    <row r="38" spans="1:9">
      <c r="A38" s="883"/>
      <c r="B38" s="792" t="s">
        <v>4759</v>
      </c>
      <c r="C38" s="819"/>
      <c r="D38" s="925"/>
      <c r="E38" s="883"/>
      <c r="F38" s="883"/>
      <c r="G38" s="883"/>
      <c r="H38" s="883"/>
      <c r="I38" s="883"/>
    </row>
    <row r="39" spans="1:9" ht="19.5" customHeight="1">
      <c r="A39" s="883"/>
      <c r="B39" s="926" t="s">
        <v>226</v>
      </c>
      <c r="C39" s="935">
        <f>SUM(C40:C42)</f>
        <v>5154996.700000003</v>
      </c>
      <c r="D39" s="936">
        <f>SUM(D40:D42)</f>
        <v>4591991.4999999963</v>
      </c>
      <c r="E39" s="883"/>
      <c r="F39" s="883"/>
      <c r="G39" s="883"/>
      <c r="H39" s="883"/>
      <c r="I39" s="883"/>
    </row>
    <row r="40" spans="1:9">
      <c r="A40" s="883"/>
      <c r="B40" s="937" t="s">
        <v>694</v>
      </c>
      <c r="C40" s="938">
        <f>+EFE!O14</f>
        <v>0</v>
      </c>
      <c r="D40" s="939">
        <f>+EFE!P14</f>
        <v>0</v>
      </c>
      <c r="E40" s="883"/>
      <c r="F40" s="883"/>
      <c r="G40" s="883"/>
      <c r="H40" s="883"/>
      <c r="I40" s="883"/>
    </row>
    <row r="41" spans="1:9">
      <c r="A41" s="940" t="s">
        <v>4760</v>
      </c>
      <c r="B41" s="937" t="s">
        <v>696</v>
      </c>
      <c r="C41" s="938">
        <f>+EFE!O15</f>
        <v>0</v>
      </c>
      <c r="D41" s="939">
        <f>+EFE!P15</f>
        <v>0</v>
      </c>
      <c r="E41" s="883"/>
      <c r="F41" s="883"/>
      <c r="G41" s="883"/>
      <c r="H41" s="883"/>
      <c r="I41" s="883"/>
    </row>
    <row r="42" spans="1:9">
      <c r="A42" s="883"/>
      <c r="B42" s="937" t="s">
        <v>4761</v>
      </c>
      <c r="C42" s="938">
        <f>+EFE!O16</f>
        <v>5154996.700000003</v>
      </c>
      <c r="D42" s="939">
        <f>+EFE!P16</f>
        <v>4591991.4999999963</v>
      </c>
      <c r="E42" s="883"/>
      <c r="F42" s="883"/>
      <c r="G42" s="883"/>
      <c r="H42" s="883"/>
      <c r="I42" s="883"/>
    </row>
    <row r="43" spans="1:9" ht="19.5" customHeight="1">
      <c r="A43" s="883"/>
      <c r="B43" s="926" t="s">
        <v>227</v>
      </c>
      <c r="C43" s="935">
        <f>SUM(C44:C46)</f>
        <v>58797256.180000082</v>
      </c>
      <c r="D43" s="936">
        <f>SUM(D44:D46)</f>
        <v>89478327.299999967</v>
      </c>
      <c r="E43" s="883"/>
      <c r="F43" s="883"/>
      <c r="G43" s="883"/>
      <c r="H43" s="883"/>
      <c r="I43" s="883"/>
    </row>
    <row r="44" spans="1:9">
      <c r="A44" s="883"/>
      <c r="B44" s="937" t="s">
        <v>694</v>
      </c>
      <c r="C44" s="938">
        <f>+EFE!O19</f>
        <v>58324027.540000081</v>
      </c>
      <c r="D44" s="939">
        <f>+EFE!P19</f>
        <v>83329154.029999971</v>
      </c>
      <c r="E44" s="883"/>
      <c r="F44" s="883"/>
      <c r="G44" s="883"/>
      <c r="H44" s="883"/>
      <c r="I44" s="883"/>
    </row>
    <row r="45" spans="1:9">
      <c r="A45" s="883"/>
      <c r="B45" s="937" t="s">
        <v>696</v>
      </c>
      <c r="C45" s="938">
        <f>+EFE!O20</f>
        <v>86844.949999999255</v>
      </c>
      <c r="D45" s="939">
        <f>+EFE!P20</f>
        <v>3269173.2699999996</v>
      </c>
      <c r="E45" s="883"/>
      <c r="F45" s="883"/>
      <c r="G45" s="883"/>
      <c r="H45" s="883"/>
      <c r="I45" s="883"/>
    </row>
    <row r="46" spans="1:9">
      <c r="A46" s="883"/>
      <c r="B46" s="937" t="s">
        <v>769</v>
      </c>
      <c r="C46" s="938">
        <f>+EFE!O21</f>
        <v>386383.69000000134</v>
      </c>
      <c r="D46" s="939">
        <f>+EFE!P21</f>
        <v>2879999.9999999963</v>
      </c>
      <c r="E46" s="883"/>
      <c r="F46" s="883"/>
      <c r="G46" s="883"/>
      <c r="H46" s="883"/>
      <c r="I46" s="883"/>
    </row>
    <row r="47" spans="1:9">
      <c r="A47" s="883"/>
      <c r="B47" s="933" t="s">
        <v>770</v>
      </c>
      <c r="C47" s="935">
        <f>C39-C43</f>
        <v>-53642259.480000079</v>
      </c>
      <c r="D47" s="936">
        <f>D39-D43</f>
        <v>-84886335.799999967</v>
      </c>
      <c r="E47" s="883"/>
      <c r="F47" s="883"/>
      <c r="G47" s="883"/>
      <c r="H47" s="883"/>
      <c r="I47" s="883"/>
    </row>
    <row r="48" spans="1:9">
      <c r="A48" s="883"/>
      <c r="B48" s="1727"/>
      <c r="C48" s="1728"/>
      <c r="D48" s="1729"/>
      <c r="E48" s="883"/>
      <c r="F48" s="883"/>
      <c r="G48" s="883"/>
      <c r="H48" s="883"/>
      <c r="I48" s="883"/>
    </row>
    <row r="49" spans="1:9">
      <c r="A49" s="883"/>
      <c r="B49" s="792" t="s">
        <v>773</v>
      </c>
      <c r="C49" s="819"/>
      <c r="D49" s="925"/>
      <c r="E49" s="883"/>
      <c r="F49" s="883"/>
      <c r="G49" s="883"/>
      <c r="H49" s="883"/>
      <c r="I49" s="883"/>
    </row>
    <row r="50" spans="1:9" ht="19.5" customHeight="1">
      <c r="A50" s="883"/>
      <c r="B50" s="926" t="s">
        <v>226</v>
      </c>
      <c r="C50" s="815">
        <f>SUM(C51:C54)</f>
        <v>0</v>
      </c>
      <c r="D50" s="941">
        <f>SUM(D51:D54)</f>
        <v>854119.01999999955</v>
      </c>
      <c r="E50" s="883"/>
      <c r="F50" s="883"/>
      <c r="G50" s="883"/>
      <c r="H50" s="883"/>
      <c r="I50" s="883"/>
    </row>
    <row r="51" spans="1:9">
      <c r="A51" s="883"/>
      <c r="B51" s="937" t="s">
        <v>228</v>
      </c>
      <c r="C51" s="942">
        <f>SUM(C52:C53)</f>
        <v>0</v>
      </c>
      <c r="D51" s="943">
        <f>SUM(D52:D53)</f>
        <v>0</v>
      </c>
      <c r="E51" s="883"/>
      <c r="F51" s="883"/>
      <c r="G51" s="883"/>
      <c r="H51" s="883"/>
      <c r="I51" s="883"/>
    </row>
    <row r="52" spans="1:9">
      <c r="A52" s="883"/>
      <c r="B52" s="944" t="s">
        <v>4762</v>
      </c>
      <c r="C52" s="945">
        <v>0</v>
      </c>
      <c r="D52" s="946">
        <v>0</v>
      </c>
      <c r="E52" s="883"/>
      <c r="F52" s="883"/>
      <c r="G52" s="883"/>
      <c r="H52" s="883"/>
      <c r="I52" s="883"/>
    </row>
    <row r="53" spans="1:9">
      <c r="A53" s="883"/>
      <c r="B53" s="944" t="s">
        <v>4763</v>
      </c>
      <c r="C53" s="930">
        <v>0</v>
      </c>
      <c r="D53" s="931">
        <v>0</v>
      </c>
      <c r="E53" s="883"/>
      <c r="F53" s="883"/>
      <c r="G53" s="883"/>
      <c r="H53" s="883"/>
      <c r="I53" s="883"/>
    </row>
    <row r="54" spans="1:9">
      <c r="A54" s="883"/>
      <c r="B54" s="937" t="s">
        <v>776</v>
      </c>
      <c r="C54" s="930">
        <f>+EFE!O31</f>
        <v>0</v>
      </c>
      <c r="D54" s="931">
        <f>+EFE!P31</f>
        <v>854119.01999999955</v>
      </c>
      <c r="E54" s="883"/>
      <c r="F54" s="883"/>
      <c r="G54" s="883"/>
      <c r="H54" s="883"/>
      <c r="I54" s="883"/>
    </row>
    <row r="55" spans="1:9">
      <c r="A55" s="883"/>
      <c r="B55" s="926" t="s">
        <v>227</v>
      </c>
      <c r="C55" s="927">
        <f>SUM(C56:C59)</f>
        <v>582145.46</v>
      </c>
      <c r="D55" s="928">
        <f>SUM(D56:D59)</f>
        <v>0</v>
      </c>
      <c r="E55" s="883"/>
      <c r="F55" s="883"/>
      <c r="G55" s="883"/>
      <c r="H55" s="883"/>
      <c r="I55" s="883"/>
    </row>
    <row r="56" spans="1:9">
      <c r="A56" s="883"/>
      <c r="B56" s="937" t="s">
        <v>229</v>
      </c>
      <c r="C56" s="947">
        <f>SUM(C57:C58)</f>
        <v>0</v>
      </c>
      <c r="D56" s="948">
        <f>SUM(D57:D58)</f>
        <v>0</v>
      </c>
      <c r="E56" s="883"/>
      <c r="F56" s="883"/>
      <c r="G56" s="883"/>
      <c r="H56" s="883"/>
      <c r="I56" s="883"/>
    </row>
    <row r="57" spans="1:9">
      <c r="A57" s="883"/>
      <c r="B57" s="944" t="s">
        <v>4762</v>
      </c>
      <c r="C57" s="945">
        <v>0</v>
      </c>
      <c r="D57" s="946">
        <v>0</v>
      </c>
      <c r="E57" s="883"/>
      <c r="F57" s="883"/>
      <c r="G57" s="883"/>
      <c r="H57" s="883"/>
      <c r="I57" s="883"/>
    </row>
    <row r="58" spans="1:9">
      <c r="A58" s="883"/>
      <c r="B58" s="944" t="s">
        <v>4763</v>
      </c>
      <c r="C58" s="945">
        <v>0</v>
      </c>
      <c r="D58" s="946">
        <v>0</v>
      </c>
      <c r="E58" s="883"/>
      <c r="F58" s="883"/>
      <c r="G58" s="883"/>
      <c r="H58" s="883"/>
      <c r="I58" s="883"/>
    </row>
    <row r="59" spans="1:9">
      <c r="A59" s="883"/>
      <c r="B59" s="937" t="s">
        <v>779</v>
      </c>
      <c r="C59" s="945">
        <f>+EFE!O37</f>
        <v>582145.46</v>
      </c>
      <c r="D59" s="946">
        <f>+EFE!P37</f>
        <v>0</v>
      </c>
      <c r="E59" s="883"/>
      <c r="F59" s="883"/>
      <c r="G59" s="883"/>
      <c r="H59" s="883"/>
      <c r="I59" s="883"/>
    </row>
    <row r="60" spans="1:9">
      <c r="A60" s="883"/>
      <c r="B60" s="933" t="s">
        <v>4764</v>
      </c>
      <c r="C60" s="815">
        <f>C50-C55</f>
        <v>-582145.46</v>
      </c>
      <c r="D60" s="941">
        <f>D50-D55</f>
        <v>854119.01999999955</v>
      </c>
      <c r="E60" s="883"/>
      <c r="F60" s="883"/>
      <c r="G60" s="883"/>
      <c r="H60" s="883"/>
      <c r="I60" s="883"/>
    </row>
    <row r="61" spans="1:9">
      <c r="A61" s="883"/>
      <c r="B61" s="1727"/>
      <c r="C61" s="1728"/>
      <c r="D61" s="1729"/>
      <c r="E61" s="883"/>
      <c r="F61" s="883"/>
      <c r="G61" s="883"/>
      <c r="H61" s="883"/>
      <c r="I61" s="883"/>
    </row>
    <row r="62" spans="1:9" ht="12" customHeight="1">
      <c r="A62" s="883"/>
      <c r="B62" s="933" t="s">
        <v>4765</v>
      </c>
      <c r="C62" s="934">
        <f>SUM(C60,C47,C36)</f>
        <v>11829934.049999945</v>
      </c>
      <c r="D62" s="949">
        <f>SUM(D60,D47,D36)</f>
        <v>-15889385.799999967</v>
      </c>
      <c r="E62" s="883"/>
      <c r="F62" s="883"/>
      <c r="G62" s="883"/>
      <c r="H62" s="883"/>
      <c r="I62" s="883"/>
    </row>
    <row r="63" spans="1:9">
      <c r="A63" s="883"/>
      <c r="B63" s="1727"/>
      <c r="C63" s="1728"/>
      <c r="D63" s="1729"/>
      <c r="E63" s="883"/>
      <c r="F63" s="883"/>
      <c r="G63" s="883"/>
      <c r="H63" s="883"/>
      <c r="I63" s="883"/>
    </row>
    <row r="64" spans="1:9">
      <c r="A64" s="883"/>
      <c r="B64" s="933" t="s">
        <v>4766</v>
      </c>
      <c r="C64" s="950">
        <f>+EFE!O46</f>
        <v>192432922.05999997</v>
      </c>
      <c r="D64" s="951">
        <f>+EFE!P46</f>
        <v>208322307.85999992</v>
      </c>
      <c r="E64" s="883"/>
      <c r="F64" s="883"/>
      <c r="G64" s="883"/>
      <c r="H64" s="883"/>
      <c r="I64" s="883"/>
    </row>
    <row r="65" spans="1:9" ht="12" customHeight="1">
      <c r="A65" s="883"/>
      <c r="B65" s="829" t="s">
        <v>4767</v>
      </c>
      <c r="C65" s="950">
        <f>+EFE!O47</f>
        <v>204262856.10999992</v>
      </c>
      <c r="D65" s="951">
        <f>+EFE!P47</f>
        <v>192432922.05999997</v>
      </c>
      <c r="E65" s="883"/>
      <c r="F65" s="883"/>
      <c r="G65" s="883"/>
      <c r="H65" s="883"/>
      <c r="I65" s="883"/>
    </row>
    <row r="66" spans="1:9" ht="12.75" thickBot="1">
      <c r="A66" s="883"/>
      <c r="B66" s="1730"/>
      <c r="C66" s="1731"/>
      <c r="D66" s="1732"/>
      <c r="E66" s="883"/>
      <c r="F66" s="883"/>
      <c r="G66" s="883"/>
      <c r="H66" s="883"/>
      <c r="I66" s="883"/>
    </row>
    <row r="67" spans="1:9">
      <c r="A67" s="883"/>
      <c r="B67" s="883"/>
      <c r="C67" s="883"/>
      <c r="D67" s="883"/>
      <c r="E67" s="883"/>
      <c r="F67" s="883"/>
      <c r="G67" s="883"/>
      <c r="H67" s="883"/>
      <c r="I67" s="883"/>
    </row>
    <row r="68" spans="1:9" s="883" customFormat="1"/>
    <row r="69" spans="1:9" s="883" customFormat="1"/>
    <row r="70" spans="1:9" s="883" customFormat="1"/>
    <row r="71" spans="1:9" s="883" customFormat="1"/>
    <row r="72" spans="1:9" s="883" customFormat="1" ht="15">
      <c r="D72" s="857"/>
    </row>
    <row r="73" spans="1:9" s="883" customFormat="1"/>
    <row r="74" spans="1:9" s="883" customFormat="1"/>
    <row r="75" spans="1:9" s="883" customFormat="1"/>
    <row r="76" spans="1:9" s="883" customFormat="1"/>
    <row r="77" spans="1:9" s="883" customFormat="1"/>
    <row r="78" spans="1:9" s="883" customFormat="1"/>
    <row r="79" spans="1:9" s="883" customFormat="1"/>
    <row r="80" spans="1:9" s="883" customFormat="1"/>
    <row r="81" s="883" customFormat="1"/>
  </sheetData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K64"/>
  <sheetViews>
    <sheetView topLeftCell="A4" workbookViewId="0">
      <selection activeCell="H21" sqref="H21"/>
    </sheetView>
  </sheetViews>
  <sheetFormatPr baseColWidth="10" defaultRowHeight="11.25"/>
  <cols>
    <col min="1" max="1" width="1.140625" style="317" customWidth="1"/>
    <col min="2" max="3" width="3.7109375" style="346" customWidth="1"/>
    <col min="4" max="4" width="46.42578125" style="346" customWidth="1"/>
    <col min="5" max="8" width="15.7109375" style="346" customWidth="1"/>
    <col min="9" max="9" width="18.28515625" style="346" customWidth="1"/>
    <col min="10" max="10" width="15.7109375" style="346" customWidth="1"/>
    <col min="11" max="11" width="2" style="317" customWidth="1"/>
    <col min="12" max="16384" width="11.42578125" style="346"/>
  </cols>
  <sheetData>
    <row r="1" spans="1:10" s="317" customFormat="1"/>
    <row r="2" spans="1:10">
      <c r="B2" s="1742"/>
      <c r="C2" s="1743"/>
      <c r="D2" s="1743"/>
      <c r="E2" s="1743"/>
      <c r="F2" s="1743"/>
      <c r="G2" s="1743"/>
      <c r="H2" s="1743"/>
      <c r="I2" s="1743"/>
      <c r="J2" s="1744"/>
    </row>
    <row r="3" spans="1:10">
      <c r="B3" s="1745" t="s">
        <v>2987</v>
      </c>
      <c r="C3" s="1746"/>
      <c r="D3" s="1746"/>
      <c r="E3" s="1746"/>
      <c r="F3" s="1746"/>
      <c r="G3" s="1746"/>
      <c r="H3" s="1746"/>
      <c r="I3" s="1746"/>
      <c r="J3" s="1747"/>
    </row>
    <row r="4" spans="1:10">
      <c r="B4" s="1745" t="s">
        <v>787</v>
      </c>
      <c r="C4" s="1746"/>
      <c r="D4" s="1746"/>
      <c r="E4" s="1746"/>
      <c r="F4" s="1746"/>
      <c r="G4" s="1746"/>
      <c r="H4" s="1746"/>
      <c r="I4" s="1746"/>
      <c r="J4" s="1747"/>
    </row>
    <row r="5" spans="1:10">
      <c r="B5" s="1748" t="str">
        <f>+EA!C3</f>
        <v>Del 1 de enero al 31 de diciembre de 2021</v>
      </c>
      <c r="C5" s="1749"/>
      <c r="D5" s="1749"/>
      <c r="E5" s="1749"/>
      <c r="F5" s="1749"/>
      <c r="G5" s="1749"/>
      <c r="H5" s="1749"/>
      <c r="I5" s="1749"/>
      <c r="J5" s="1750"/>
    </row>
    <row r="6" spans="1:10" s="317" customFormat="1">
      <c r="A6" s="318"/>
      <c r="B6" s="318"/>
      <c r="C6" s="318"/>
      <c r="D6" s="454"/>
      <c r="F6" s="319"/>
      <c r="G6" s="319"/>
      <c r="H6" s="319"/>
      <c r="I6" s="319"/>
      <c r="J6" s="319"/>
    </row>
    <row r="7" spans="1:10" ht="12" customHeight="1">
      <c r="A7" s="318"/>
      <c r="B7" s="1751" t="s">
        <v>788</v>
      </c>
      <c r="C7" s="1751"/>
      <c r="D7" s="1751"/>
      <c r="E7" s="1751" t="s">
        <v>789</v>
      </c>
      <c r="F7" s="1751"/>
      <c r="G7" s="1751"/>
      <c r="H7" s="1751"/>
      <c r="I7" s="1751"/>
      <c r="J7" s="1752" t="s">
        <v>790</v>
      </c>
    </row>
    <row r="8" spans="1:10" ht="22.5">
      <c r="A8" s="318"/>
      <c r="B8" s="1751"/>
      <c r="C8" s="1751"/>
      <c r="D8" s="1751"/>
      <c r="E8" s="651" t="s">
        <v>791</v>
      </c>
      <c r="F8" s="652" t="s">
        <v>792</v>
      </c>
      <c r="G8" s="651" t="s">
        <v>793</v>
      </c>
      <c r="H8" s="651" t="s">
        <v>236</v>
      </c>
      <c r="I8" s="651" t="s">
        <v>794</v>
      </c>
      <c r="J8" s="1752"/>
    </row>
    <row r="9" spans="1:10" ht="12" customHeight="1">
      <c r="A9" s="318"/>
      <c r="B9" s="1751"/>
      <c r="C9" s="1751"/>
      <c r="D9" s="1751"/>
      <c r="E9" s="651" t="s">
        <v>795</v>
      </c>
      <c r="F9" s="651" t="s">
        <v>796</v>
      </c>
      <c r="G9" s="651" t="s">
        <v>797</v>
      </c>
      <c r="H9" s="651" t="s">
        <v>798</v>
      </c>
      <c r="I9" s="651" t="s">
        <v>799</v>
      </c>
      <c r="J9" s="651" t="s">
        <v>800</v>
      </c>
    </row>
    <row r="10" spans="1:10" ht="12" customHeight="1">
      <c r="A10" s="320"/>
      <c r="B10" s="321"/>
      <c r="C10" s="322"/>
      <c r="D10" s="323"/>
      <c r="E10" s="324"/>
      <c r="F10" s="325"/>
      <c r="G10" s="325"/>
      <c r="H10" s="325"/>
      <c r="I10" s="325"/>
      <c r="J10" s="325"/>
    </row>
    <row r="11" spans="1:10" ht="12" customHeight="1">
      <c r="A11" s="320"/>
      <c r="B11" s="1755" t="s">
        <v>615</v>
      </c>
      <c r="C11" s="1753"/>
      <c r="D11" s="1754"/>
      <c r="E11" s="326">
        <v>0</v>
      </c>
      <c r="F11" s="326">
        <v>0</v>
      </c>
      <c r="G11" s="326">
        <f>+E11+F11</f>
        <v>0</v>
      </c>
      <c r="H11" s="326">
        <v>0</v>
      </c>
      <c r="I11" s="326">
        <v>0</v>
      </c>
      <c r="J11" s="326">
        <f>+I11-E11</f>
        <v>0</v>
      </c>
    </row>
    <row r="12" spans="1:10" ht="12" customHeight="1">
      <c r="A12" s="320"/>
      <c r="B12" s="1755" t="s">
        <v>766</v>
      </c>
      <c r="C12" s="1753"/>
      <c r="D12" s="1754"/>
      <c r="E12" s="326">
        <v>0</v>
      </c>
      <c r="F12" s="326">
        <v>0</v>
      </c>
      <c r="G12" s="326">
        <f t="shared" ref="G12:G24" si="0">+E12+F12</f>
        <v>0</v>
      </c>
      <c r="H12" s="326">
        <v>0</v>
      </c>
      <c r="I12" s="326">
        <v>0</v>
      </c>
      <c r="J12" s="326">
        <f t="shared" ref="J12:J24" si="1">+I12-E12</f>
        <v>0</v>
      </c>
    </row>
    <row r="13" spans="1:10" ht="12" customHeight="1">
      <c r="A13" s="320"/>
      <c r="B13" s="1755" t="s">
        <v>618</v>
      </c>
      <c r="C13" s="1753"/>
      <c r="D13" s="1754"/>
      <c r="E13" s="326">
        <v>0</v>
      </c>
      <c r="F13" s="326">
        <v>0</v>
      </c>
      <c r="G13" s="326">
        <f t="shared" si="0"/>
        <v>0</v>
      </c>
      <c r="H13" s="326">
        <v>0</v>
      </c>
      <c r="I13" s="326">
        <v>0</v>
      </c>
      <c r="J13" s="326">
        <f t="shared" si="1"/>
        <v>0</v>
      </c>
    </row>
    <row r="14" spans="1:10" ht="12" customHeight="1">
      <c r="A14" s="320"/>
      <c r="B14" s="1755" t="s">
        <v>619</v>
      </c>
      <c r="C14" s="1753"/>
      <c r="D14" s="1754"/>
      <c r="E14" s="326">
        <v>0</v>
      </c>
      <c r="F14" s="326">
        <v>0</v>
      </c>
      <c r="G14" s="326">
        <f t="shared" si="0"/>
        <v>0</v>
      </c>
      <c r="H14" s="326">
        <v>0</v>
      </c>
      <c r="I14" s="326">
        <v>0</v>
      </c>
      <c r="J14" s="326">
        <f t="shared" si="1"/>
        <v>0</v>
      </c>
    </row>
    <row r="15" spans="1:10" ht="12" customHeight="1">
      <c r="A15" s="320"/>
      <c r="B15" s="1755" t="s">
        <v>801</v>
      </c>
      <c r="C15" s="1753"/>
      <c r="D15" s="1754"/>
      <c r="E15" s="326">
        <f>+E16+E17</f>
        <v>0</v>
      </c>
      <c r="F15" s="326">
        <f>+F16+F17</f>
        <v>0</v>
      </c>
      <c r="G15" s="326">
        <f>+G16+G17</f>
        <v>0</v>
      </c>
      <c r="H15" s="326">
        <f>+H16+H17</f>
        <v>0</v>
      </c>
      <c r="I15" s="326">
        <f>+I16+I17</f>
        <v>0</v>
      </c>
      <c r="J15" s="326">
        <f t="shared" si="1"/>
        <v>0</v>
      </c>
    </row>
    <row r="16" spans="1:10" ht="12" customHeight="1">
      <c r="A16" s="320"/>
      <c r="B16" s="327"/>
      <c r="C16" s="1753" t="s">
        <v>802</v>
      </c>
      <c r="D16" s="1754"/>
      <c r="E16" s="326">
        <v>0</v>
      </c>
      <c r="F16" s="326">
        <v>0</v>
      </c>
      <c r="G16" s="326">
        <f t="shared" si="0"/>
        <v>0</v>
      </c>
      <c r="H16" s="326">
        <v>0</v>
      </c>
      <c r="I16" s="326">
        <v>0</v>
      </c>
      <c r="J16" s="326">
        <f t="shared" si="1"/>
        <v>0</v>
      </c>
    </row>
    <row r="17" spans="1:10" ht="12" customHeight="1">
      <c r="A17" s="320"/>
      <c r="B17" s="327"/>
      <c r="C17" s="1753" t="s">
        <v>803</v>
      </c>
      <c r="D17" s="1754"/>
      <c r="E17" s="326">
        <v>0</v>
      </c>
      <c r="F17" s="326">
        <v>0</v>
      </c>
      <c r="G17" s="326">
        <f t="shared" si="0"/>
        <v>0</v>
      </c>
      <c r="H17" s="326">
        <v>0</v>
      </c>
      <c r="I17" s="326">
        <v>0</v>
      </c>
      <c r="J17" s="326">
        <f t="shared" si="1"/>
        <v>0</v>
      </c>
    </row>
    <row r="18" spans="1:10" ht="12" customHeight="1">
      <c r="A18" s="320"/>
      <c r="B18" s="1755" t="s">
        <v>804</v>
      </c>
      <c r="C18" s="1753"/>
      <c r="D18" s="1754"/>
      <c r="E18" s="326">
        <f>+E19+E20</f>
        <v>0</v>
      </c>
      <c r="F18" s="326">
        <f>+F19+F20</f>
        <v>0</v>
      </c>
      <c r="G18" s="326">
        <f t="shared" si="0"/>
        <v>0</v>
      </c>
      <c r="H18" s="326">
        <f>+H19+H20</f>
        <v>0</v>
      </c>
      <c r="I18" s="326">
        <f>+I19+I20</f>
        <v>0</v>
      </c>
      <c r="J18" s="326">
        <f t="shared" si="1"/>
        <v>0</v>
      </c>
    </row>
    <row r="19" spans="1:10" ht="12" customHeight="1">
      <c r="A19" s="320"/>
      <c r="B19" s="327"/>
      <c r="C19" s="1753" t="s">
        <v>802</v>
      </c>
      <c r="D19" s="1754"/>
      <c r="E19" s="326">
        <v>0</v>
      </c>
      <c r="F19" s="326">
        <v>0</v>
      </c>
      <c r="G19" s="326">
        <f t="shared" si="0"/>
        <v>0</v>
      </c>
      <c r="H19" s="326">
        <v>0</v>
      </c>
      <c r="I19" s="326">
        <v>0</v>
      </c>
      <c r="J19" s="326">
        <f t="shared" si="1"/>
        <v>0</v>
      </c>
    </row>
    <row r="20" spans="1:10" ht="12" customHeight="1">
      <c r="A20" s="320"/>
      <c r="B20" s="327"/>
      <c r="C20" s="1753" t="s">
        <v>803</v>
      </c>
      <c r="D20" s="1754"/>
      <c r="E20" s="326">
        <v>0</v>
      </c>
      <c r="F20" s="326">
        <v>0</v>
      </c>
      <c r="G20" s="326">
        <f t="shared" si="0"/>
        <v>0</v>
      </c>
      <c r="H20" s="326">
        <v>0</v>
      </c>
      <c r="I20" s="326">
        <v>0</v>
      </c>
      <c r="J20" s="326">
        <f t="shared" si="1"/>
        <v>0</v>
      </c>
    </row>
    <row r="21" spans="1:10" ht="12" customHeight="1">
      <c r="A21" s="320"/>
      <c r="B21" s="1755" t="s">
        <v>805</v>
      </c>
      <c r="C21" s="1753"/>
      <c r="D21" s="1754"/>
      <c r="E21" s="509">
        <f>+'PRESUP ORIGINAL'!P207+'PRESUP ORIGINAL'!P216+'PRESUP ORIGINAL'!P224</f>
        <v>101100153.74161573</v>
      </c>
      <c r="F21" s="328">
        <v>1891745</v>
      </c>
      <c r="G21" s="328">
        <f t="shared" si="0"/>
        <v>102991898.74161573</v>
      </c>
      <c r="H21" s="328">
        <f>+EA!D18</f>
        <v>98034207.450000018</v>
      </c>
      <c r="I21" s="328">
        <f>+EA!D18</f>
        <v>98034207.450000018</v>
      </c>
      <c r="J21" s="328">
        <f t="shared" si="1"/>
        <v>-3065946.2916157097</v>
      </c>
    </row>
    <row r="22" spans="1:10" ht="12" customHeight="1">
      <c r="A22" s="320"/>
      <c r="B22" s="1755" t="s">
        <v>631</v>
      </c>
      <c r="C22" s="1753"/>
      <c r="D22" s="1754"/>
      <c r="E22" s="326">
        <v>0</v>
      </c>
      <c r="F22" s="326">
        <v>0</v>
      </c>
      <c r="G22" s="326">
        <f t="shared" si="0"/>
        <v>0</v>
      </c>
      <c r="H22" s="326">
        <v>0</v>
      </c>
      <c r="I22" s="326">
        <v>0</v>
      </c>
      <c r="J22" s="326">
        <f t="shared" si="1"/>
        <v>0</v>
      </c>
    </row>
    <row r="23" spans="1:10" ht="12" customHeight="1">
      <c r="A23" s="329"/>
      <c r="B23" s="1755" t="s">
        <v>806</v>
      </c>
      <c r="C23" s="1753"/>
      <c r="D23" s="1754"/>
      <c r="E23" s="326">
        <v>0</v>
      </c>
      <c r="F23" s="326">
        <v>0</v>
      </c>
      <c r="G23" s="513">
        <f t="shared" si="0"/>
        <v>0</v>
      </c>
      <c r="H23" s="514">
        <f>+G23</f>
        <v>0</v>
      </c>
      <c r="I23" s="513">
        <f>+H23</f>
        <v>0</v>
      </c>
      <c r="J23" s="513">
        <f t="shared" si="1"/>
        <v>0</v>
      </c>
    </row>
    <row r="24" spans="1:10" ht="12" customHeight="1">
      <c r="A24" s="320"/>
      <c r="B24" s="1755" t="s">
        <v>807</v>
      </c>
      <c r="C24" s="1753"/>
      <c r="D24" s="1754"/>
      <c r="E24" s="509">
        <f>+'PRESUP ORIGINAL'!P229</f>
        <v>3609721.7481223745</v>
      </c>
      <c r="F24" s="326">
        <v>4594810</v>
      </c>
      <c r="G24" s="328">
        <f t="shared" si="0"/>
        <v>8204531.7481223745</v>
      </c>
      <c r="H24" s="1327">
        <f>EA!D26</f>
        <v>8204532.3900000006</v>
      </c>
      <c r="I24" s="1327">
        <f>EA!D26</f>
        <v>8204532.3900000006</v>
      </c>
      <c r="J24" s="328">
        <f t="shared" si="1"/>
        <v>4594810.6418776261</v>
      </c>
    </row>
    <row r="25" spans="1:10" ht="12" customHeight="1">
      <c r="A25" s="320"/>
      <c r="B25" s="330"/>
      <c r="C25" s="331"/>
      <c r="D25" s="332"/>
      <c r="E25" s="333"/>
      <c r="F25" s="334"/>
      <c r="G25" s="334"/>
      <c r="H25" s="334"/>
      <c r="I25" s="334"/>
      <c r="J25" s="334"/>
    </row>
    <row r="26" spans="1:10" ht="12" customHeight="1">
      <c r="A26" s="318"/>
      <c r="B26" s="335"/>
      <c r="C26" s="336"/>
      <c r="D26" s="337" t="s">
        <v>87</v>
      </c>
      <c r="E26" s="328">
        <f>SUM(E11+E12+E13+E14+E15+E18+E21+E22+E23+E24)</f>
        <v>104709875.48973811</v>
      </c>
      <c r="F26" s="328">
        <f>SUM(F11+F12+F13+F14+F15+F18+F21+F22+F23+F24)</f>
        <v>6486555</v>
      </c>
      <c r="G26" s="328">
        <f>SUM(G11+G12+G13+G14+G15+G18+G21+G22+G23+G24)</f>
        <v>111196430.48973811</v>
      </c>
      <c r="H26" s="328">
        <f>SUM(H11+H12+H13+H14+H15+H18+H21+H22+H23+H24)</f>
        <v>106238739.84000002</v>
      </c>
      <c r="I26" s="328">
        <f>SUM(I11+I12+I13+I14+I15+I18+I21+I22+I23+I24)</f>
        <v>106238739.84000002</v>
      </c>
      <c r="J26" s="1756">
        <f>SUM(J11:J24)</f>
        <v>1528864.3502619164</v>
      </c>
    </row>
    <row r="27" spans="1:10" ht="12" customHeight="1">
      <c r="A27" s="320"/>
      <c r="B27" s="338"/>
      <c r="C27" s="338"/>
      <c r="D27" s="338"/>
      <c r="E27" s="338"/>
      <c r="F27" s="338"/>
      <c r="G27" s="338"/>
      <c r="H27" s="1758" t="s">
        <v>808</v>
      </c>
      <c r="I27" s="1759"/>
      <c r="J27" s="1757"/>
    </row>
    <row r="28" spans="1:10" ht="12" customHeight="1">
      <c r="A28" s="318"/>
      <c r="B28" s="318"/>
      <c r="C28" s="318"/>
      <c r="D28" s="318"/>
      <c r="E28" s="319"/>
      <c r="F28" s="319"/>
      <c r="G28" s="319"/>
      <c r="H28" s="319"/>
      <c r="I28" s="319"/>
      <c r="J28" s="319"/>
    </row>
    <row r="29" spans="1:10" ht="12" customHeight="1">
      <c r="A29" s="318"/>
      <c r="B29" s="1760" t="s">
        <v>809</v>
      </c>
      <c r="C29" s="1760"/>
      <c r="D29" s="1760"/>
      <c r="E29" s="1761" t="s">
        <v>789</v>
      </c>
      <c r="F29" s="1761"/>
      <c r="G29" s="1761"/>
      <c r="H29" s="1761"/>
      <c r="I29" s="1761"/>
      <c r="J29" s="1760" t="s">
        <v>790</v>
      </c>
    </row>
    <row r="30" spans="1:10" ht="22.5">
      <c r="A30" s="318"/>
      <c r="B30" s="1760"/>
      <c r="C30" s="1760"/>
      <c r="D30" s="1760"/>
      <c r="E30" s="585" t="s">
        <v>791</v>
      </c>
      <c r="F30" s="586" t="s">
        <v>792</v>
      </c>
      <c r="G30" s="585" t="s">
        <v>793</v>
      </c>
      <c r="H30" s="585" t="s">
        <v>236</v>
      </c>
      <c r="I30" s="585" t="s">
        <v>794</v>
      </c>
      <c r="J30" s="1760"/>
    </row>
    <row r="31" spans="1:10" ht="12" customHeight="1">
      <c r="A31" s="318"/>
      <c r="B31" s="1760"/>
      <c r="C31" s="1760"/>
      <c r="D31" s="1760"/>
      <c r="E31" s="585" t="s">
        <v>795</v>
      </c>
      <c r="F31" s="585" t="s">
        <v>796</v>
      </c>
      <c r="G31" s="585" t="s">
        <v>797</v>
      </c>
      <c r="H31" s="585" t="s">
        <v>798</v>
      </c>
      <c r="I31" s="585" t="s">
        <v>799</v>
      </c>
      <c r="J31" s="585" t="s">
        <v>800</v>
      </c>
    </row>
    <row r="32" spans="1:10" ht="12" customHeight="1">
      <c r="A32" s="320"/>
      <c r="B32" s="321"/>
      <c r="C32" s="322"/>
      <c r="D32" s="323"/>
      <c r="E32" s="325"/>
      <c r="F32" s="325"/>
      <c r="G32" s="325"/>
      <c r="H32" s="325"/>
      <c r="I32" s="325"/>
      <c r="J32" s="325"/>
    </row>
    <row r="33" spans="1:10" ht="12" customHeight="1">
      <c r="A33" s="320"/>
      <c r="B33" s="339" t="s">
        <v>810</v>
      </c>
      <c r="C33" s="340"/>
      <c r="D33" s="341"/>
      <c r="E33" s="342">
        <f>+E34+E35+E36+E37+E40+E43+E44</f>
        <v>0</v>
      </c>
      <c r="F33" s="342">
        <f t="shared" ref="F33:J33" si="2">+F34+F35+F36+F37+F40+F43+F44</f>
        <v>0</v>
      </c>
      <c r="G33" s="342">
        <f t="shared" si="2"/>
        <v>0</v>
      </c>
      <c r="H33" s="342">
        <f t="shared" si="2"/>
        <v>0</v>
      </c>
      <c r="I33" s="342">
        <f t="shared" si="2"/>
        <v>0</v>
      </c>
      <c r="J33" s="342">
        <f t="shared" si="2"/>
        <v>0</v>
      </c>
    </row>
    <row r="34" spans="1:10" ht="12" customHeight="1">
      <c r="A34" s="320"/>
      <c r="B34" s="327"/>
      <c r="C34" s="1753" t="s">
        <v>615</v>
      </c>
      <c r="D34" s="1754"/>
      <c r="E34" s="326">
        <v>0</v>
      </c>
      <c r="F34" s="326">
        <v>0</v>
      </c>
      <c r="G34" s="326">
        <f>+E34+F34</f>
        <v>0</v>
      </c>
      <c r="H34" s="326">
        <v>0</v>
      </c>
      <c r="I34" s="326">
        <v>0</v>
      </c>
      <c r="J34" s="326">
        <f>+I34-E34</f>
        <v>0</v>
      </c>
    </row>
    <row r="35" spans="1:10" ht="12" customHeight="1">
      <c r="A35" s="320"/>
      <c r="B35" s="327"/>
      <c r="C35" s="1753" t="s">
        <v>618</v>
      </c>
      <c r="D35" s="1754"/>
      <c r="E35" s="326">
        <v>0</v>
      </c>
      <c r="F35" s="326">
        <v>0</v>
      </c>
      <c r="G35" s="326">
        <f t="shared" ref="G35:G49" si="3">+E35+F35</f>
        <v>0</v>
      </c>
      <c r="H35" s="326">
        <v>0</v>
      </c>
      <c r="I35" s="326">
        <v>0</v>
      </c>
      <c r="J35" s="326">
        <f t="shared" ref="J35:J52" si="4">+I35-E35</f>
        <v>0</v>
      </c>
    </row>
    <row r="36" spans="1:10" ht="12" customHeight="1">
      <c r="A36" s="320"/>
      <c r="B36" s="327"/>
      <c r="C36" s="1753" t="s">
        <v>619</v>
      </c>
      <c r="D36" s="1754"/>
      <c r="E36" s="326">
        <v>0</v>
      </c>
      <c r="F36" s="326">
        <v>0</v>
      </c>
      <c r="G36" s="326">
        <f t="shared" si="3"/>
        <v>0</v>
      </c>
      <c r="H36" s="326">
        <v>0</v>
      </c>
      <c r="I36" s="326">
        <v>0</v>
      </c>
      <c r="J36" s="326">
        <f t="shared" si="4"/>
        <v>0</v>
      </c>
    </row>
    <row r="37" spans="1:10" ht="12" customHeight="1">
      <c r="A37" s="320"/>
      <c r="B37" s="327"/>
      <c r="C37" s="1753" t="s">
        <v>801</v>
      </c>
      <c r="D37" s="1754"/>
      <c r="E37" s="326">
        <f>+E38+E39</f>
        <v>0</v>
      </c>
      <c r="F37" s="326">
        <f>+F38+F39</f>
        <v>0</v>
      </c>
      <c r="G37" s="326">
        <f t="shared" si="3"/>
        <v>0</v>
      </c>
      <c r="H37" s="326">
        <f>+H38+H39</f>
        <v>0</v>
      </c>
      <c r="I37" s="326">
        <f>+I38+I39</f>
        <v>0</v>
      </c>
      <c r="J37" s="326">
        <f t="shared" si="4"/>
        <v>0</v>
      </c>
    </row>
    <row r="38" spans="1:10" ht="12" customHeight="1">
      <c r="A38" s="320"/>
      <c r="B38" s="327"/>
      <c r="C38" s="317"/>
      <c r="D38" s="343" t="s">
        <v>802</v>
      </c>
      <c r="E38" s="326">
        <v>0</v>
      </c>
      <c r="F38" s="326">
        <v>0</v>
      </c>
      <c r="G38" s="326">
        <f t="shared" si="3"/>
        <v>0</v>
      </c>
      <c r="H38" s="326">
        <v>0</v>
      </c>
      <c r="I38" s="326">
        <v>0</v>
      </c>
      <c r="J38" s="326">
        <f t="shared" si="4"/>
        <v>0</v>
      </c>
    </row>
    <row r="39" spans="1:10" ht="12" customHeight="1">
      <c r="A39" s="320"/>
      <c r="B39" s="327"/>
      <c r="C39" s="317"/>
      <c r="D39" s="343" t="s">
        <v>803</v>
      </c>
      <c r="E39" s="326">
        <v>0</v>
      </c>
      <c r="F39" s="326">
        <v>0</v>
      </c>
      <c r="G39" s="326">
        <f t="shared" si="3"/>
        <v>0</v>
      </c>
      <c r="H39" s="326">
        <v>0</v>
      </c>
      <c r="I39" s="326">
        <v>0</v>
      </c>
      <c r="J39" s="326">
        <f t="shared" si="4"/>
        <v>0</v>
      </c>
    </row>
    <row r="40" spans="1:10" ht="12" customHeight="1">
      <c r="A40" s="320"/>
      <c r="B40" s="327"/>
      <c r="C40" s="1753" t="s">
        <v>804</v>
      </c>
      <c r="D40" s="1754"/>
      <c r="E40" s="326">
        <f>+E41+E42</f>
        <v>0</v>
      </c>
      <c r="F40" s="326">
        <f>+F41+F42</f>
        <v>0</v>
      </c>
      <c r="G40" s="326">
        <f>+G41+G42</f>
        <v>0</v>
      </c>
      <c r="H40" s="326">
        <f>+H41+H42</f>
        <v>0</v>
      </c>
      <c r="I40" s="326">
        <f>+I41+I42</f>
        <v>0</v>
      </c>
      <c r="J40" s="326">
        <f t="shared" si="4"/>
        <v>0</v>
      </c>
    </row>
    <row r="41" spans="1:10" ht="12" customHeight="1">
      <c r="A41" s="320"/>
      <c r="B41" s="327"/>
      <c r="C41" s="317"/>
      <c r="D41" s="343" t="s">
        <v>802</v>
      </c>
      <c r="E41" s="326">
        <v>0</v>
      </c>
      <c r="F41" s="326">
        <v>0</v>
      </c>
      <c r="G41" s="326">
        <f t="shared" si="3"/>
        <v>0</v>
      </c>
      <c r="H41" s="326">
        <v>0</v>
      </c>
      <c r="I41" s="326">
        <v>0</v>
      </c>
      <c r="J41" s="326">
        <f t="shared" si="4"/>
        <v>0</v>
      </c>
    </row>
    <row r="42" spans="1:10" ht="12" customHeight="1">
      <c r="A42" s="320"/>
      <c r="B42" s="327"/>
      <c r="C42" s="317"/>
      <c r="D42" s="343" t="s">
        <v>803</v>
      </c>
      <c r="E42" s="326">
        <v>0</v>
      </c>
      <c r="F42" s="326">
        <v>0</v>
      </c>
      <c r="G42" s="326">
        <f t="shared" si="3"/>
        <v>0</v>
      </c>
      <c r="H42" s="326">
        <v>0</v>
      </c>
      <c r="I42" s="326">
        <v>0</v>
      </c>
      <c r="J42" s="326">
        <f t="shared" si="4"/>
        <v>0</v>
      </c>
    </row>
    <row r="43" spans="1:10" ht="12" customHeight="1">
      <c r="A43" s="320"/>
      <c r="B43" s="327"/>
      <c r="C43" s="1753" t="s">
        <v>631</v>
      </c>
      <c r="D43" s="1754"/>
      <c r="E43" s="326">
        <v>0</v>
      </c>
      <c r="F43" s="326">
        <v>0</v>
      </c>
      <c r="G43" s="326">
        <f t="shared" si="3"/>
        <v>0</v>
      </c>
      <c r="H43" s="326">
        <v>0</v>
      </c>
      <c r="I43" s="326">
        <v>0</v>
      </c>
      <c r="J43" s="326">
        <f t="shared" si="4"/>
        <v>0</v>
      </c>
    </row>
    <row r="44" spans="1:10" ht="12" customHeight="1">
      <c r="A44" s="320"/>
      <c r="B44" s="327"/>
      <c r="C44" s="1753" t="s">
        <v>806</v>
      </c>
      <c r="D44" s="1754"/>
      <c r="E44" s="326">
        <v>0</v>
      </c>
      <c r="F44" s="326">
        <v>0</v>
      </c>
      <c r="G44" s="326">
        <f t="shared" si="3"/>
        <v>0</v>
      </c>
      <c r="H44" s="326">
        <v>0</v>
      </c>
      <c r="I44" s="326">
        <v>0</v>
      </c>
      <c r="J44" s="326">
        <f t="shared" si="4"/>
        <v>0</v>
      </c>
    </row>
    <row r="45" spans="1:10" ht="12" customHeight="1">
      <c r="A45" s="320"/>
      <c r="B45" s="327"/>
      <c r="C45" s="317"/>
      <c r="D45" s="343"/>
      <c r="E45" s="326"/>
      <c r="F45" s="326"/>
      <c r="G45" s="344"/>
      <c r="H45" s="326"/>
      <c r="I45" s="326"/>
      <c r="J45" s="344"/>
    </row>
    <row r="46" spans="1:10" ht="12" customHeight="1">
      <c r="A46" s="320"/>
      <c r="B46" s="339" t="s">
        <v>811</v>
      </c>
      <c r="C46" s="340"/>
      <c r="D46" s="343"/>
      <c r="E46" s="345">
        <f>+E47+E48+E49</f>
        <v>101100153.74161573</v>
      </c>
      <c r="F46" s="345">
        <f>+F47+F48+F49</f>
        <v>1891745</v>
      </c>
      <c r="G46" s="345">
        <f>+G47+G48+G49</f>
        <v>102991898.74161573</v>
      </c>
      <c r="H46" s="345">
        <f>+H47+H48+H49</f>
        <v>98034207.450000018</v>
      </c>
      <c r="I46" s="345">
        <f>+I47+I48+I49</f>
        <v>98034207.450000018</v>
      </c>
      <c r="J46" s="345">
        <f t="shared" si="4"/>
        <v>-3065946.2916157097</v>
      </c>
    </row>
    <row r="47" spans="1:10" ht="12" customHeight="1">
      <c r="A47" s="320"/>
      <c r="B47" s="339"/>
      <c r="C47" s="1753" t="s">
        <v>766</v>
      </c>
      <c r="D47" s="1754"/>
      <c r="E47" s="328">
        <v>0</v>
      </c>
      <c r="F47" s="328">
        <v>0</v>
      </c>
      <c r="G47" s="328">
        <f t="shared" si="3"/>
        <v>0</v>
      </c>
      <c r="H47" s="328">
        <v>0</v>
      </c>
      <c r="I47" s="328">
        <v>0</v>
      </c>
      <c r="J47" s="328">
        <f t="shared" si="4"/>
        <v>0</v>
      </c>
    </row>
    <row r="48" spans="1:10" ht="12" customHeight="1">
      <c r="A48" s="320"/>
      <c r="B48" s="327"/>
      <c r="C48" s="1753" t="s">
        <v>805</v>
      </c>
      <c r="D48" s="1754"/>
      <c r="E48" s="328">
        <f>+E21</f>
        <v>101100153.74161573</v>
      </c>
      <c r="F48" s="328">
        <f>+F21</f>
        <v>1891745</v>
      </c>
      <c r="G48" s="328">
        <f t="shared" si="3"/>
        <v>102991898.74161573</v>
      </c>
      <c r="H48" s="328">
        <f>+H21</f>
        <v>98034207.450000018</v>
      </c>
      <c r="I48" s="328">
        <f>+I21</f>
        <v>98034207.450000018</v>
      </c>
      <c r="J48" s="328">
        <f t="shared" si="4"/>
        <v>-3065946.2916157097</v>
      </c>
    </row>
    <row r="49" spans="1:11" ht="12" customHeight="1">
      <c r="A49" s="320"/>
      <c r="B49" s="327"/>
      <c r="C49" s="1753" t="s">
        <v>806</v>
      </c>
      <c r="D49" s="1754"/>
      <c r="E49" s="328">
        <v>0</v>
      </c>
      <c r="F49" s="328">
        <f>+F23</f>
        <v>0</v>
      </c>
      <c r="G49" s="328">
        <f t="shared" si="3"/>
        <v>0</v>
      </c>
      <c r="H49" s="328">
        <f>+H23</f>
        <v>0</v>
      </c>
      <c r="I49" s="328">
        <f>+I23</f>
        <v>0</v>
      </c>
      <c r="J49" s="328">
        <f t="shared" si="4"/>
        <v>0</v>
      </c>
    </row>
    <row r="50" spans="1:11" s="351" customFormat="1" ht="12" customHeight="1">
      <c r="A50" s="318"/>
      <c r="B50" s="347"/>
      <c r="C50" s="348"/>
      <c r="D50" s="349"/>
      <c r="E50" s="350"/>
      <c r="F50" s="350"/>
      <c r="G50" s="350"/>
      <c r="H50" s="350"/>
      <c r="I50" s="350"/>
      <c r="J50" s="350"/>
      <c r="K50" s="348"/>
    </row>
    <row r="51" spans="1:11" ht="12" customHeight="1">
      <c r="A51" s="320"/>
      <c r="B51" s="339" t="s">
        <v>812</v>
      </c>
      <c r="C51" s="352"/>
      <c r="D51" s="343"/>
      <c r="E51" s="345">
        <f>+E52</f>
        <v>3609721.7481223745</v>
      </c>
      <c r="F51" s="342">
        <f>+F52</f>
        <v>4594810</v>
      </c>
      <c r="G51" s="345">
        <f>+G52</f>
        <v>8204531.7481223745</v>
      </c>
      <c r="H51" s="345">
        <f>+H52</f>
        <v>8204532.3900000006</v>
      </c>
      <c r="I51" s="345">
        <f>+I52</f>
        <v>8204532.3900000006</v>
      </c>
      <c r="J51" s="345">
        <f t="shared" si="4"/>
        <v>4594810.6418776261</v>
      </c>
    </row>
    <row r="52" spans="1:11" ht="12" customHeight="1">
      <c r="A52" s="320"/>
      <c r="B52" s="327"/>
      <c r="C52" s="1753" t="s">
        <v>807</v>
      </c>
      <c r="D52" s="1754"/>
      <c r="E52" s="1328">
        <f>+E24</f>
        <v>3609721.7481223745</v>
      </c>
      <c r="F52" s="326">
        <f>+F24</f>
        <v>4594810</v>
      </c>
      <c r="G52" s="1328">
        <f t="shared" ref="G52" si="5">+E52+F52</f>
        <v>8204531.7481223745</v>
      </c>
      <c r="H52" s="1329">
        <f>+H24</f>
        <v>8204532.3900000006</v>
      </c>
      <c r="I52" s="1329">
        <f>+I24</f>
        <v>8204532.3900000006</v>
      </c>
      <c r="J52" s="1329">
        <f t="shared" si="4"/>
        <v>4594810.6418776261</v>
      </c>
    </row>
    <row r="53" spans="1:11" ht="12" customHeight="1">
      <c r="A53" s="320"/>
      <c r="B53" s="330"/>
      <c r="C53" s="331"/>
      <c r="D53" s="332"/>
      <c r="E53" s="334"/>
      <c r="F53" s="334"/>
      <c r="G53" s="334"/>
      <c r="H53" s="334"/>
      <c r="I53" s="334"/>
      <c r="J53" s="334"/>
    </row>
    <row r="54" spans="1:11" ht="12" customHeight="1">
      <c r="A54" s="318"/>
      <c r="B54" s="335"/>
      <c r="C54" s="336"/>
      <c r="D54" s="353" t="s">
        <v>87</v>
      </c>
      <c r="E54" s="328">
        <f>+E34+E35+E36+E37+E40+E43+E44+E46+E51</f>
        <v>104709875.48973811</v>
      </c>
      <c r="F54" s="328">
        <f t="shared" ref="F54:I54" si="6">+F34+F35+F36+F37+F40+F43+F44+F46+F51</f>
        <v>6486555</v>
      </c>
      <c r="G54" s="328">
        <f t="shared" si="6"/>
        <v>111196430.48973811</v>
      </c>
      <c r="H54" s="328">
        <f t="shared" si="6"/>
        <v>106238739.84000002</v>
      </c>
      <c r="I54" s="328">
        <f t="shared" si="6"/>
        <v>106238739.84000002</v>
      </c>
      <c r="J54" s="1763">
        <f>+J33+J46+J51</f>
        <v>1528864.3502619164</v>
      </c>
    </row>
    <row r="55" spans="1:11">
      <c r="A55" s="320"/>
      <c r="B55" s="338"/>
      <c r="C55" s="338"/>
      <c r="D55" s="338"/>
      <c r="E55" s="338"/>
      <c r="F55" s="338"/>
      <c r="G55" s="338"/>
      <c r="H55" s="1758" t="s">
        <v>808</v>
      </c>
      <c r="I55" s="1759"/>
      <c r="J55" s="1764"/>
    </row>
    <row r="56" spans="1:11">
      <c r="A56" s="320"/>
      <c r="B56" s="1762"/>
      <c r="C56" s="1762"/>
      <c r="D56" s="1762"/>
      <c r="E56" s="1762"/>
      <c r="F56" s="1762"/>
      <c r="G56" s="1762"/>
      <c r="H56" s="1762"/>
      <c r="I56" s="1762"/>
      <c r="J56" s="1762"/>
    </row>
    <row r="57" spans="1:11">
      <c r="B57" s="317" t="s">
        <v>813</v>
      </c>
      <c r="C57" s="317"/>
      <c r="D57" s="317"/>
      <c r="E57" s="317"/>
      <c r="F57" s="317"/>
      <c r="G57" s="317"/>
      <c r="H57" s="317"/>
      <c r="I57" s="317"/>
      <c r="J57" s="317"/>
    </row>
    <row r="58" spans="1:11">
      <c r="B58" s="317"/>
      <c r="C58" s="317"/>
      <c r="D58" s="317"/>
      <c r="E58" s="317"/>
      <c r="F58" s="317"/>
      <c r="G58" s="317"/>
      <c r="H58" s="317"/>
      <c r="I58" s="317"/>
      <c r="J58" s="317"/>
    </row>
    <row r="59" spans="1:11">
      <c r="B59" s="317"/>
      <c r="C59" s="317"/>
      <c r="D59" s="317"/>
      <c r="E59" s="317"/>
      <c r="F59" s="317"/>
      <c r="G59" s="317"/>
      <c r="H59" s="317"/>
      <c r="I59" s="317"/>
      <c r="J59" s="317"/>
    </row>
    <row r="62" spans="1:11" ht="12">
      <c r="D62" s="232"/>
      <c r="E62" s="233"/>
      <c r="F62" s="194"/>
      <c r="G62" s="157"/>
      <c r="H62" s="234"/>
      <c r="I62" s="235"/>
    </row>
    <row r="63" spans="1:11" ht="12">
      <c r="D63" s="1615" t="s">
        <v>2867</v>
      </c>
      <c r="E63" s="1615"/>
      <c r="F63" s="194"/>
      <c r="G63" s="194"/>
      <c r="H63" s="1615" t="s">
        <v>665</v>
      </c>
      <c r="I63" s="1615"/>
    </row>
    <row r="64" spans="1:11" ht="12">
      <c r="D64" s="1610" t="s">
        <v>1765</v>
      </c>
      <c r="E64" s="1610"/>
      <c r="F64" s="204"/>
      <c r="G64" s="204"/>
      <c r="H64" s="1610" t="s">
        <v>666</v>
      </c>
      <c r="I64" s="1610"/>
    </row>
  </sheetData>
  <mergeCells count="44">
    <mergeCell ref="H63:I63"/>
    <mergeCell ref="D64:E64"/>
    <mergeCell ref="H64:I64"/>
    <mergeCell ref="B56:J56"/>
    <mergeCell ref="C47:D47"/>
    <mergeCell ref="C48:D48"/>
    <mergeCell ref="C49:D49"/>
    <mergeCell ref="C52:D52"/>
    <mergeCell ref="D63:E63"/>
    <mergeCell ref="J54:J55"/>
    <mergeCell ref="H55:I55"/>
    <mergeCell ref="C34:D34"/>
    <mergeCell ref="C35:D35"/>
    <mergeCell ref="C36:D36"/>
    <mergeCell ref="C37:D37"/>
    <mergeCell ref="C40:D40"/>
    <mergeCell ref="J26:J27"/>
    <mergeCell ref="H27:I27"/>
    <mergeCell ref="B29:D31"/>
    <mergeCell ref="E29:I29"/>
    <mergeCell ref="J29:J30"/>
    <mergeCell ref="C44:D44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B2:J2"/>
    <mergeCell ref="B3:J3"/>
    <mergeCell ref="B4:J4"/>
    <mergeCell ref="B5:J5"/>
    <mergeCell ref="B7:D9"/>
    <mergeCell ref="E7:I7"/>
    <mergeCell ref="J7:J8"/>
  </mergeCells>
  <pageMargins left="1.27" right="0.7" top="0.47" bottom="0.53" header="0.3" footer="0.3"/>
  <pageSetup scale="7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565F-F2D6-44FC-A6E2-9E3EC8F954ED}">
  <dimension ref="B1:H141"/>
  <sheetViews>
    <sheetView workbookViewId="0">
      <selection activeCell="F14" sqref="F14:G17"/>
    </sheetView>
  </sheetViews>
  <sheetFormatPr baseColWidth="10" defaultColWidth="11.42578125" defaultRowHeight="1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140625" style="1" customWidth="1"/>
    <col min="6" max="6" width="13.5703125" style="1" customWidth="1"/>
    <col min="7" max="7" width="13.85546875" style="1" customWidth="1"/>
    <col min="8" max="8" width="13.140625" style="1" customWidth="1"/>
    <col min="9" max="9" width="13.28515625" style="1" customWidth="1"/>
    <col min="10" max="16384" width="11.42578125" style="1"/>
  </cols>
  <sheetData>
    <row r="1" spans="2:8" ht="12" customHeight="1"/>
    <row r="2" spans="2:8">
      <c r="B2" s="1769" t="s">
        <v>2987</v>
      </c>
      <c r="C2" s="1770"/>
      <c r="D2" s="1770"/>
      <c r="E2" s="1770"/>
      <c r="F2" s="1770"/>
      <c r="G2" s="1770"/>
      <c r="H2" s="1771"/>
    </row>
    <row r="3" spans="2:8">
      <c r="B3" s="1772" t="s">
        <v>787</v>
      </c>
      <c r="C3" s="1658"/>
      <c r="D3" s="1658"/>
      <c r="E3" s="1658"/>
      <c r="F3" s="1658"/>
      <c r="G3" s="1658"/>
      <c r="H3" s="1773"/>
    </row>
    <row r="4" spans="2:8" ht="12.75" customHeight="1">
      <c r="B4" s="1774"/>
      <c r="C4" s="1775"/>
      <c r="D4" s="1775"/>
      <c r="E4" s="1775"/>
      <c r="F4" s="1775"/>
      <c r="G4" s="1775"/>
      <c r="H4" s="1776"/>
    </row>
    <row r="5" spans="2:8" ht="15.75" customHeight="1">
      <c r="B5" s="1777" t="s">
        <v>788</v>
      </c>
      <c r="C5" s="1780" t="s">
        <v>789</v>
      </c>
      <c r="D5" s="1781"/>
      <c r="E5" s="1781"/>
      <c r="F5" s="1781"/>
      <c r="G5" s="1781"/>
      <c r="H5" s="1777" t="s">
        <v>790</v>
      </c>
    </row>
    <row r="6" spans="2:8" ht="34.9" customHeight="1">
      <c r="B6" s="1778"/>
      <c r="C6" s="996" t="s">
        <v>791</v>
      </c>
      <c r="D6" s="997" t="s">
        <v>792</v>
      </c>
      <c r="E6" s="996" t="s">
        <v>793</v>
      </c>
      <c r="F6" s="996" t="s">
        <v>236</v>
      </c>
      <c r="G6" s="996" t="s">
        <v>794</v>
      </c>
      <c r="H6" s="1779"/>
    </row>
    <row r="7" spans="2:8" ht="12.75" customHeight="1">
      <c r="B7" s="1779"/>
      <c r="C7" s="996" t="s">
        <v>4779</v>
      </c>
      <c r="D7" s="996" t="s">
        <v>4780</v>
      </c>
      <c r="E7" s="996" t="s">
        <v>797</v>
      </c>
      <c r="F7" s="996" t="s">
        <v>4781</v>
      </c>
      <c r="G7" s="996" t="s">
        <v>4782</v>
      </c>
      <c r="H7" s="996" t="s">
        <v>4783</v>
      </c>
    </row>
    <row r="8" spans="2:8" s="3" customFormat="1" ht="12" customHeight="1">
      <c r="B8" s="998" t="s">
        <v>615</v>
      </c>
      <c r="C8" s="999">
        <v>0</v>
      </c>
      <c r="D8" s="1000">
        <v>0</v>
      </c>
      <c r="E8" s="1001">
        <f t="shared" ref="E8:E18" si="0">C8+D8</f>
        <v>0</v>
      </c>
      <c r="F8" s="1000">
        <v>0</v>
      </c>
      <c r="G8" s="1002">
        <v>0</v>
      </c>
      <c r="H8" s="1003">
        <f t="shared" ref="H8:H18" si="1">G8-C8</f>
        <v>0</v>
      </c>
    </row>
    <row r="9" spans="2:8" ht="15" customHeight="1">
      <c r="B9" s="1004" t="s">
        <v>766</v>
      </c>
      <c r="C9" s="999">
        <v>0</v>
      </c>
      <c r="D9" s="1000">
        <v>0</v>
      </c>
      <c r="E9" s="1005">
        <f t="shared" si="0"/>
        <v>0</v>
      </c>
      <c r="F9" s="1000">
        <v>0</v>
      </c>
      <c r="G9" s="999">
        <v>0</v>
      </c>
      <c r="H9" s="1003">
        <f t="shared" si="1"/>
        <v>0</v>
      </c>
    </row>
    <row r="10" spans="2:8" ht="15" customHeight="1">
      <c r="B10" s="1004" t="s">
        <v>618</v>
      </c>
      <c r="C10" s="999">
        <v>0</v>
      </c>
      <c r="D10" s="1000">
        <v>0</v>
      </c>
      <c r="E10" s="1005">
        <f t="shared" si="0"/>
        <v>0</v>
      </c>
      <c r="F10" s="1000">
        <v>0</v>
      </c>
      <c r="G10" s="999">
        <v>0</v>
      </c>
      <c r="H10" s="1003">
        <f t="shared" si="1"/>
        <v>0</v>
      </c>
    </row>
    <row r="11" spans="2:8" ht="12" customHeight="1">
      <c r="B11" s="1004" t="s">
        <v>619</v>
      </c>
      <c r="C11" s="999">
        <v>0</v>
      </c>
      <c r="D11" s="1000">
        <v>0</v>
      </c>
      <c r="E11" s="1005">
        <f t="shared" si="0"/>
        <v>0</v>
      </c>
      <c r="F11" s="1000">
        <v>0</v>
      </c>
      <c r="G11" s="999">
        <v>0</v>
      </c>
      <c r="H11" s="1003">
        <f t="shared" si="1"/>
        <v>0</v>
      </c>
    </row>
    <row r="12" spans="2:8" ht="12" customHeight="1">
      <c r="B12" s="1004" t="s">
        <v>801</v>
      </c>
      <c r="C12" s="999">
        <v>0</v>
      </c>
      <c r="D12" s="1000">
        <v>0</v>
      </c>
      <c r="E12" s="1005">
        <f t="shared" si="0"/>
        <v>0</v>
      </c>
      <c r="F12" s="1000">
        <v>0</v>
      </c>
      <c r="G12" s="999">
        <v>0</v>
      </c>
      <c r="H12" s="1003">
        <f t="shared" si="1"/>
        <v>0</v>
      </c>
    </row>
    <row r="13" spans="2:8" ht="12" customHeight="1">
      <c r="B13" s="1004" t="s">
        <v>804</v>
      </c>
      <c r="C13" s="999">
        <v>0</v>
      </c>
      <c r="D13" s="1000">
        <v>0</v>
      </c>
      <c r="E13" s="1005">
        <f t="shared" si="0"/>
        <v>0</v>
      </c>
      <c r="F13" s="1000">
        <v>0</v>
      </c>
      <c r="G13" s="999">
        <v>0</v>
      </c>
      <c r="H13" s="1003">
        <f t="shared" si="1"/>
        <v>0</v>
      </c>
    </row>
    <row r="14" spans="2:8" ht="12" customHeight="1">
      <c r="B14" s="1004" t="s">
        <v>4784</v>
      </c>
      <c r="C14" s="999">
        <f>+EAI!E48</f>
        <v>101100153.74161573</v>
      </c>
      <c r="D14" s="1000">
        <f>EAI!F21</f>
        <v>1891745</v>
      </c>
      <c r="E14" s="1005">
        <f t="shared" si="0"/>
        <v>102991898.74161573</v>
      </c>
      <c r="F14" s="1000">
        <f>+EAI!H48</f>
        <v>98034207.450000018</v>
      </c>
      <c r="G14" s="999">
        <f>+EAI!I48</f>
        <v>98034207.450000018</v>
      </c>
      <c r="H14" s="1003">
        <f t="shared" si="1"/>
        <v>-3065946.2916157097</v>
      </c>
    </row>
    <row r="15" spans="2:8" ht="24" customHeight="1">
      <c r="B15" s="1004" t="s">
        <v>4728</v>
      </c>
      <c r="C15" s="999">
        <v>0</v>
      </c>
      <c r="D15" s="1000">
        <v>0</v>
      </c>
      <c r="E15" s="1005">
        <f t="shared" si="0"/>
        <v>0</v>
      </c>
      <c r="F15" s="1000">
        <v>0</v>
      </c>
      <c r="G15" s="999">
        <v>0</v>
      </c>
      <c r="H15" s="1003">
        <f t="shared" si="1"/>
        <v>0</v>
      </c>
    </row>
    <row r="16" spans="2:8" ht="12" customHeight="1">
      <c r="B16" s="1004" t="s">
        <v>4729</v>
      </c>
      <c r="C16" s="999">
        <v>0</v>
      </c>
      <c r="D16" s="1000">
        <v>0</v>
      </c>
      <c r="E16" s="1005">
        <f t="shared" si="0"/>
        <v>0</v>
      </c>
      <c r="F16" s="1000">
        <v>0</v>
      </c>
      <c r="G16" s="999">
        <v>0</v>
      </c>
      <c r="H16" s="1003">
        <f t="shared" si="1"/>
        <v>0</v>
      </c>
    </row>
    <row r="17" spans="2:8" ht="15.75" customHeight="1">
      <c r="B17" s="1006" t="s">
        <v>807</v>
      </c>
      <c r="C17" s="999">
        <f>EAI!E24</f>
        <v>3609721.7481223745</v>
      </c>
      <c r="D17" s="1000">
        <f>EAI!F24</f>
        <v>4594810</v>
      </c>
      <c r="E17" s="1007">
        <f t="shared" si="0"/>
        <v>8204531.7481223745</v>
      </c>
      <c r="F17" s="1000">
        <f>EAI!H24</f>
        <v>8204532.3900000006</v>
      </c>
      <c r="G17" s="1008">
        <f>EAI!I24</f>
        <v>8204532.3900000006</v>
      </c>
      <c r="H17" s="1003">
        <f t="shared" si="1"/>
        <v>4594810.6418776261</v>
      </c>
    </row>
    <row r="18" spans="2:8" s="3" customFormat="1" ht="36" customHeight="1">
      <c r="B18" s="1009" t="s">
        <v>87</v>
      </c>
      <c r="C18" s="1010">
        <f>SUM(C8:C17)</f>
        <v>104709875.48973811</v>
      </c>
      <c r="D18" s="1010">
        <f>SUM(D8:D17)</f>
        <v>6486555</v>
      </c>
      <c r="E18" s="1010">
        <f t="shared" si="0"/>
        <v>111196430.48973811</v>
      </c>
      <c r="F18" s="1010">
        <f>SUM(F8:F17)</f>
        <v>106238739.84000002</v>
      </c>
      <c r="G18" s="1010">
        <f>SUM(G8:G17)</f>
        <v>106238739.84000002</v>
      </c>
      <c r="H18" s="1765">
        <f t="shared" si="1"/>
        <v>1528864.3502619117</v>
      </c>
    </row>
    <row r="19" spans="2:8" ht="15.75" customHeight="1">
      <c r="B19" s="1011"/>
      <c r="C19" s="1012"/>
      <c r="D19" s="1012"/>
      <c r="E19" s="1012"/>
      <c r="F19" s="1767" t="s">
        <v>4785</v>
      </c>
      <c r="G19" s="1768"/>
      <c r="H19" s="1766"/>
    </row>
    <row r="20" spans="2:8" ht="15.75" customHeight="1">
      <c r="B20" s="1014"/>
      <c r="C20" s="1015"/>
      <c r="D20" s="1015"/>
      <c r="E20" s="1015"/>
      <c r="F20" s="1016"/>
      <c r="G20" s="1016"/>
      <c r="H20" s="1017"/>
    </row>
    <row r="21" spans="2:8" ht="15.75" customHeight="1">
      <c r="B21" s="1014"/>
      <c r="C21" s="1015"/>
      <c r="D21" s="1015"/>
      <c r="E21" s="1015"/>
      <c r="F21" s="1016"/>
      <c r="G21" s="1016"/>
      <c r="H21" s="1017"/>
    </row>
    <row r="22" spans="2:8" ht="15.75" customHeight="1"/>
    <row r="23" spans="2:8" ht="15.75" customHeight="1"/>
    <row r="24" spans="2:8" ht="15.75" customHeight="1"/>
    <row r="25" spans="2:8" ht="15.75" customHeight="1"/>
    <row r="26" spans="2:8" ht="15.75" customHeight="1"/>
    <row r="27" spans="2:8" ht="15.75" customHeight="1"/>
    <row r="28" spans="2:8" ht="15.75" customHeight="1"/>
    <row r="29" spans="2:8" ht="15.75" customHeight="1"/>
    <row r="30" spans="2:8" ht="15.75" customHeight="1"/>
    <row r="31" spans="2:8" ht="15.75" customHeight="1"/>
    <row r="32" spans="2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3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6B09-B7B1-4423-904F-D1F4E8526419}">
  <dimension ref="B2:H27"/>
  <sheetViews>
    <sheetView topLeftCell="A10" workbookViewId="0">
      <selection activeCell="I24" sqref="I24"/>
    </sheetView>
  </sheetViews>
  <sheetFormatPr baseColWidth="10" defaultColWidth="11.42578125" defaultRowHeight="1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5703125" style="1" customWidth="1"/>
    <col min="6" max="6" width="13.85546875" style="1" customWidth="1"/>
    <col min="7" max="7" width="14" style="1" customWidth="1"/>
    <col min="8" max="8" width="12.85546875" style="1" customWidth="1"/>
    <col min="9" max="9" width="13.28515625" style="1" customWidth="1"/>
    <col min="10" max="16384" width="11.42578125" style="1"/>
  </cols>
  <sheetData>
    <row r="2" spans="2:8">
      <c r="B2" s="1769" t="s">
        <v>2987</v>
      </c>
      <c r="C2" s="1770"/>
      <c r="D2" s="1770"/>
      <c r="E2" s="1770"/>
      <c r="F2" s="1770"/>
      <c r="G2" s="1770"/>
      <c r="H2" s="1771"/>
    </row>
    <row r="3" spans="2:8">
      <c r="B3" s="1786" t="s">
        <v>787</v>
      </c>
      <c r="C3" s="1787"/>
      <c r="D3" s="1787"/>
      <c r="E3" s="1787"/>
      <c r="F3" s="1787"/>
      <c r="G3" s="1787"/>
      <c r="H3" s="1788"/>
    </row>
    <row r="4" spans="2:8">
      <c r="B4" s="1774"/>
      <c r="C4" s="1775"/>
      <c r="D4" s="1775"/>
      <c r="E4" s="1775"/>
      <c r="F4" s="1775"/>
      <c r="G4" s="1775"/>
      <c r="H4" s="1776"/>
    </row>
    <row r="5" spans="2:8" s="3" customFormat="1">
      <c r="B5" s="1789" t="s">
        <v>4786</v>
      </c>
      <c r="C5" s="1792" t="s">
        <v>789</v>
      </c>
      <c r="D5" s="1793"/>
      <c r="E5" s="1793"/>
      <c r="F5" s="1793"/>
      <c r="G5" s="1794"/>
      <c r="H5" s="1789" t="s">
        <v>790</v>
      </c>
    </row>
    <row r="6" spans="2:8" ht="24">
      <c r="B6" s="1790"/>
      <c r="C6" s="1018" t="s">
        <v>791</v>
      </c>
      <c r="D6" s="1019" t="s">
        <v>792</v>
      </c>
      <c r="E6" s="1018" t="s">
        <v>793</v>
      </c>
      <c r="F6" s="1018" t="s">
        <v>236</v>
      </c>
      <c r="G6" s="1020" t="s">
        <v>794</v>
      </c>
      <c r="H6" s="1791"/>
    </row>
    <row r="7" spans="2:8">
      <c r="B7" s="1791"/>
      <c r="C7" s="1018" t="s">
        <v>4779</v>
      </c>
      <c r="D7" s="1018" t="s">
        <v>4780</v>
      </c>
      <c r="E7" s="1018" t="s">
        <v>797</v>
      </c>
      <c r="F7" s="1018" t="s">
        <v>4781</v>
      </c>
      <c r="G7" s="1018" t="s">
        <v>4782</v>
      </c>
      <c r="H7" s="1018" t="s">
        <v>4783</v>
      </c>
    </row>
    <row r="8" spans="2:8">
      <c r="B8" s="1021" t="s">
        <v>4787</v>
      </c>
      <c r="C8" s="1022">
        <f>SUM(C9:C16)</f>
        <v>0</v>
      </c>
      <c r="D8" s="1023">
        <f>SUM(D9:D16)</f>
        <v>0</v>
      </c>
      <c r="E8" s="1022">
        <f t="shared" ref="E8:E16" si="0">C8+D8</f>
        <v>0</v>
      </c>
      <c r="F8" s="1022">
        <f>SUM(F9:F16)</f>
        <v>0</v>
      </c>
      <c r="G8" s="1024">
        <f>SUM(G9:G16)</f>
        <v>0</v>
      </c>
      <c r="H8" s="1025">
        <f t="shared" ref="H8:H16" si="1">G8-C8</f>
        <v>0</v>
      </c>
    </row>
    <row r="9" spans="2:8">
      <c r="B9" s="1026" t="s">
        <v>615</v>
      </c>
      <c r="C9" s="1027">
        <v>0</v>
      </c>
      <c r="D9" s="1028">
        <v>0</v>
      </c>
      <c r="E9" s="1029">
        <f t="shared" si="0"/>
        <v>0</v>
      </c>
      <c r="F9" s="1027">
        <v>0</v>
      </c>
      <c r="G9" s="1030">
        <v>0</v>
      </c>
      <c r="H9" s="1031">
        <f t="shared" si="1"/>
        <v>0</v>
      </c>
    </row>
    <row r="10" spans="2:8">
      <c r="B10" s="1032" t="s">
        <v>766</v>
      </c>
      <c r="C10" s="1027">
        <v>0</v>
      </c>
      <c r="D10" s="1028">
        <v>0</v>
      </c>
      <c r="E10" s="1029">
        <f t="shared" si="0"/>
        <v>0</v>
      </c>
      <c r="F10" s="1027">
        <v>0</v>
      </c>
      <c r="G10" s="1030">
        <v>0</v>
      </c>
      <c r="H10" s="1031">
        <f t="shared" si="1"/>
        <v>0</v>
      </c>
    </row>
    <row r="11" spans="2:8">
      <c r="B11" s="1026" t="s">
        <v>618</v>
      </c>
      <c r="C11" s="1027">
        <v>0</v>
      </c>
      <c r="D11" s="1028">
        <v>0</v>
      </c>
      <c r="E11" s="1029">
        <f t="shared" si="0"/>
        <v>0</v>
      </c>
      <c r="F11" s="1027">
        <v>0</v>
      </c>
      <c r="G11" s="1030">
        <v>0</v>
      </c>
      <c r="H11" s="1031">
        <f t="shared" si="1"/>
        <v>0</v>
      </c>
    </row>
    <row r="12" spans="2:8">
      <c r="B12" s="1026" t="s">
        <v>619</v>
      </c>
      <c r="C12" s="1027">
        <v>0</v>
      </c>
      <c r="D12" s="1028">
        <v>0</v>
      </c>
      <c r="E12" s="1029">
        <f t="shared" si="0"/>
        <v>0</v>
      </c>
      <c r="F12" s="1027">
        <v>0</v>
      </c>
      <c r="G12" s="1030">
        <v>0</v>
      </c>
      <c r="H12" s="1031">
        <f t="shared" si="1"/>
        <v>0</v>
      </c>
    </row>
    <row r="13" spans="2:8">
      <c r="B13" s="1033" t="s">
        <v>801</v>
      </c>
      <c r="C13" s="1027">
        <v>0</v>
      </c>
      <c r="D13" s="1028">
        <v>0</v>
      </c>
      <c r="E13" s="1029">
        <f t="shared" si="0"/>
        <v>0</v>
      </c>
      <c r="F13" s="1027">
        <v>0</v>
      </c>
      <c r="G13" s="1030">
        <v>0</v>
      </c>
      <c r="H13" s="1031">
        <f t="shared" si="1"/>
        <v>0</v>
      </c>
    </row>
    <row r="14" spans="2:8">
      <c r="B14" s="1033" t="s">
        <v>804</v>
      </c>
      <c r="C14" s="1027">
        <v>0</v>
      </c>
      <c r="D14" s="1028">
        <v>0</v>
      </c>
      <c r="E14" s="1029">
        <f t="shared" si="0"/>
        <v>0</v>
      </c>
      <c r="F14" s="1027">
        <v>0</v>
      </c>
      <c r="G14" s="1030">
        <v>0</v>
      </c>
      <c r="H14" s="1031">
        <f t="shared" si="1"/>
        <v>0</v>
      </c>
    </row>
    <row r="15" spans="2:8" ht="24">
      <c r="B15" s="1026" t="s">
        <v>4728</v>
      </c>
      <c r="C15" s="1027">
        <v>0</v>
      </c>
      <c r="D15" s="1028">
        <v>0</v>
      </c>
      <c r="E15" s="1029">
        <f t="shared" si="0"/>
        <v>0</v>
      </c>
      <c r="F15" s="1027">
        <v>0</v>
      </c>
      <c r="G15" s="1030">
        <v>0</v>
      </c>
      <c r="H15" s="1031">
        <f t="shared" si="1"/>
        <v>0</v>
      </c>
    </row>
    <row r="16" spans="2:8">
      <c r="B16" s="1026" t="s">
        <v>4729</v>
      </c>
      <c r="C16" s="1027">
        <v>0</v>
      </c>
      <c r="D16" s="1028">
        <v>0</v>
      </c>
      <c r="E16" s="1029">
        <f t="shared" si="0"/>
        <v>0</v>
      </c>
      <c r="F16" s="1027">
        <v>0</v>
      </c>
      <c r="G16" s="1030">
        <v>0</v>
      </c>
      <c r="H16" s="1031">
        <f t="shared" si="1"/>
        <v>0</v>
      </c>
    </row>
    <row r="17" spans="2:8">
      <c r="B17" s="1034"/>
      <c r="C17" s="1029"/>
      <c r="D17" s="1035"/>
      <c r="E17" s="1029"/>
      <c r="F17" s="1029"/>
      <c r="G17" s="1031"/>
      <c r="H17" s="1031"/>
    </row>
    <row r="18" spans="2:8" ht="36">
      <c r="B18" s="1036" t="s">
        <v>4788</v>
      </c>
      <c r="C18" s="1037">
        <f>SUM(C19:C22)</f>
        <v>101100153.74161573</v>
      </c>
      <c r="D18" s="1038">
        <f>SUM(D19:D22)</f>
        <v>1891745</v>
      </c>
      <c r="E18" s="1037">
        <f>C18+D18</f>
        <v>102991898.74161573</v>
      </c>
      <c r="F18" s="1037">
        <f>SUM(F19:F22)</f>
        <v>98034207.450000018</v>
      </c>
      <c r="G18" s="1025">
        <f>SUM(G19:G22)</f>
        <v>98034207.450000018</v>
      </c>
      <c r="H18" s="1025">
        <f>G18-C18</f>
        <v>-3065946.2916157097</v>
      </c>
    </row>
    <row r="19" spans="2:8">
      <c r="B19" s="1026" t="s">
        <v>766</v>
      </c>
      <c r="C19" s="1027">
        <v>0</v>
      </c>
      <c r="D19" s="1028">
        <v>0</v>
      </c>
      <c r="E19" s="1029">
        <f>C19+D19</f>
        <v>0</v>
      </c>
      <c r="F19" s="1027">
        <v>0</v>
      </c>
      <c r="G19" s="1030">
        <v>0</v>
      </c>
      <c r="H19" s="1031">
        <f>G19-C19</f>
        <v>0</v>
      </c>
    </row>
    <row r="20" spans="2:8">
      <c r="B20" s="1026" t="s">
        <v>801</v>
      </c>
      <c r="C20" s="1027">
        <v>0</v>
      </c>
      <c r="D20" s="1028">
        <v>0</v>
      </c>
      <c r="E20" s="1029">
        <f>C20+D20</f>
        <v>0</v>
      </c>
      <c r="F20" s="1027">
        <v>0</v>
      </c>
      <c r="G20" s="1030">
        <v>0</v>
      </c>
      <c r="H20" s="1031">
        <f>G20-C20</f>
        <v>0</v>
      </c>
    </row>
    <row r="21" spans="2:8">
      <c r="B21" s="1026" t="s">
        <v>4784</v>
      </c>
      <c r="C21" s="1027">
        <f>+EAI!E48</f>
        <v>101100153.74161573</v>
      </c>
      <c r="D21" s="1028">
        <f>EAI!F21</f>
        <v>1891745</v>
      </c>
      <c r="E21" s="1029">
        <f>C21+D21</f>
        <v>102991898.74161573</v>
      </c>
      <c r="F21" s="1027">
        <f>+EAI!H48</f>
        <v>98034207.450000018</v>
      </c>
      <c r="G21" s="1030">
        <f>+EAI!I48</f>
        <v>98034207.450000018</v>
      </c>
      <c r="H21" s="1031">
        <f>G21-C21</f>
        <v>-3065946.2916157097</v>
      </c>
    </row>
    <row r="22" spans="2:8">
      <c r="B22" s="1026" t="s">
        <v>4729</v>
      </c>
      <c r="C22" s="1027">
        <v>0</v>
      </c>
      <c r="D22" s="1028">
        <v>0</v>
      </c>
      <c r="E22" s="1029">
        <f>C22+D22</f>
        <v>0</v>
      </c>
      <c r="F22" s="1027">
        <v>0</v>
      </c>
      <c r="G22" s="1030">
        <v>0</v>
      </c>
      <c r="H22" s="1031">
        <f>G22-C22</f>
        <v>0</v>
      </c>
    </row>
    <row r="23" spans="2:8">
      <c r="B23" s="1034"/>
      <c r="C23" s="1029"/>
      <c r="D23" s="1035"/>
      <c r="E23" s="1029"/>
      <c r="F23" s="1029"/>
      <c r="G23" s="1031"/>
      <c r="H23" s="1031"/>
    </row>
    <row r="24" spans="2:8">
      <c r="B24" s="1021" t="s">
        <v>807</v>
      </c>
      <c r="C24" s="1037">
        <f>SUM(C25)</f>
        <v>3609721.7481223745</v>
      </c>
      <c r="D24" s="1038">
        <f>SUM(D25)</f>
        <v>4594810</v>
      </c>
      <c r="E24" s="1037">
        <f>C24+D24</f>
        <v>8204531.7481223745</v>
      </c>
      <c r="F24" s="1037">
        <f>SUM(F25)</f>
        <v>8204532.3900000006</v>
      </c>
      <c r="G24" s="1025">
        <f>SUM(G25)</f>
        <v>8204532.3900000006</v>
      </c>
      <c r="H24" s="1025">
        <f>G24-C24</f>
        <v>4594810.6418776261</v>
      </c>
    </row>
    <row r="25" spans="2:8">
      <c r="B25" s="1039" t="s">
        <v>807</v>
      </c>
      <c r="C25" s="1027">
        <f>EAI!E24</f>
        <v>3609721.7481223745</v>
      </c>
      <c r="D25" s="1040">
        <f>EAI!F24</f>
        <v>4594810</v>
      </c>
      <c r="E25" s="1029">
        <f>C25+D25</f>
        <v>8204531.7481223745</v>
      </c>
      <c r="F25" s="1041">
        <f>EAI!H24</f>
        <v>8204532.3900000006</v>
      </c>
      <c r="G25" s="1042">
        <f>EAI!I24</f>
        <v>8204532.3900000006</v>
      </c>
      <c r="H25" s="1031">
        <f>G25-C25</f>
        <v>4594810.6418776261</v>
      </c>
    </row>
    <row r="26" spans="2:8">
      <c r="B26" s="1043" t="s">
        <v>87</v>
      </c>
      <c r="C26" s="1044">
        <f>SUM(C24,C18,C8)</f>
        <v>104709875.48973811</v>
      </c>
      <c r="D26" s="1044">
        <f>SUM(D24,D18,D8)</f>
        <v>6486555</v>
      </c>
      <c r="E26" s="1044">
        <f>SUM(D26,C26)</f>
        <v>111196430.48973811</v>
      </c>
      <c r="F26" s="1044">
        <f>SUM(F24,F18,F8)</f>
        <v>106238739.84000002</v>
      </c>
      <c r="G26" s="1045">
        <f>SUM(G24,G18,G8)</f>
        <v>106238739.84000002</v>
      </c>
      <c r="H26" s="1782">
        <f>SUM(G26-C26)</f>
        <v>1528864.3502619117</v>
      </c>
    </row>
    <row r="27" spans="2:8">
      <c r="B27" s="862"/>
      <c r="C27" s="1046"/>
      <c r="D27" s="1046"/>
      <c r="E27" s="1046"/>
      <c r="F27" s="1784" t="s">
        <v>4785</v>
      </c>
      <c r="G27" s="1785"/>
      <c r="H27" s="1783"/>
    </row>
  </sheetData>
  <mergeCells count="8">
    <mergeCell ref="H26:H27"/>
    <mergeCell ref="F27:G2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DA7B-4EEB-4A60-A362-DCB361B2676D}">
  <dimension ref="B2:H38"/>
  <sheetViews>
    <sheetView topLeftCell="A13" workbookViewId="0">
      <selection activeCell="F8" sqref="F8:G9"/>
    </sheetView>
  </sheetViews>
  <sheetFormatPr baseColWidth="10" defaultColWidth="11.42578125" defaultRowHeight="1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2" spans="2:8">
      <c r="B2" s="1769" t="s">
        <v>2987</v>
      </c>
      <c r="C2" s="1770"/>
      <c r="D2" s="1770"/>
      <c r="E2" s="1770"/>
      <c r="F2" s="1770"/>
      <c r="G2" s="1770"/>
      <c r="H2" s="1771"/>
    </row>
    <row r="3" spans="2:8">
      <c r="B3" s="1772" t="s">
        <v>787</v>
      </c>
      <c r="C3" s="1658"/>
      <c r="D3" s="1658"/>
      <c r="E3" s="1658"/>
      <c r="F3" s="1658"/>
      <c r="G3" s="1658"/>
      <c r="H3" s="1773"/>
    </row>
    <row r="4" spans="2:8">
      <c r="B4" s="1774"/>
      <c r="C4" s="1775"/>
      <c r="D4" s="1775"/>
      <c r="E4" s="1775"/>
      <c r="F4" s="1775"/>
      <c r="G4" s="1775"/>
      <c r="H4" s="1776"/>
    </row>
    <row r="5" spans="2:8">
      <c r="B5" s="1780" t="s">
        <v>4789</v>
      </c>
      <c r="C5" s="1800" t="s">
        <v>789</v>
      </c>
      <c r="D5" s="1801"/>
      <c r="E5" s="1801"/>
      <c r="F5" s="1801"/>
      <c r="G5" s="1802"/>
      <c r="H5" s="1803" t="s">
        <v>790</v>
      </c>
    </row>
    <row r="6" spans="2:8" ht="24">
      <c r="B6" s="1772"/>
      <c r="C6" s="996" t="s">
        <v>791</v>
      </c>
      <c r="D6" s="997" t="s">
        <v>792</v>
      </c>
      <c r="E6" s="996" t="s">
        <v>793</v>
      </c>
      <c r="F6" s="996" t="s">
        <v>236</v>
      </c>
      <c r="G6" s="996" t="s">
        <v>794</v>
      </c>
      <c r="H6" s="1804"/>
    </row>
    <row r="7" spans="2:8">
      <c r="B7" s="1799"/>
      <c r="C7" s="1047" t="s">
        <v>4779</v>
      </c>
      <c r="D7" s="1047" t="s">
        <v>4780</v>
      </c>
      <c r="E7" s="996" t="s">
        <v>797</v>
      </c>
      <c r="F7" s="996" t="s">
        <v>4781</v>
      </c>
      <c r="G7" s="996" t="s">
        <v>4782</v>
      </c>
      <c r="H7" s="996" t="s">
        <v>4783</v>
      </c>
    </row>
    <row r="8" spans="2:8" ht="24">
      <c r="B8" s="1048" t="s">
        <v>4791</v>
      </c>
      <c r="C8" s="1049">
        <f>+'13 ri sif'!C14</f>
        <v>101100153.74161573</v>
      </c>
      <c r="D8" s="1002">
        <f>'13 ri sif'!D14</f>
        <v>1891745</v>
      </c>
      <c r="E8" s="1050">
        <f>SUM(C8:D8)</f>
        <v>102991898.74161573</v>
      </c>
      <c r="F8" s="1049">
        <f>+'13 ri sif'!F14</f>
        <v>98034207.450000018</v>
      </c>
      <c r="G8" s="1002">
        <f>+'13 ri sif'!G14</f>
        <v>98034207.450000018</v>
      </c>
      <c r="H8" s="1003">
        <f>SUM(G8-C8)</f>
        <v>-3065946.2916157097</v>
      </c>
    </row>
    <row r="9" spans="2:8">
      <c r="B9" s="1051" t="s">
        <v>807</v>
      </c>
      <c r="C9" s="1052">
        <f>'13 ri sif'!C17</f>
        <v>3609721.7481223745</v>
      </c>
      <c r="D9" s="999">
        <f>'13 ri sif'!D17</f>
        <v>4594810</v>
      </c>
      <c r="E9" s="1003">
        <f t="shared" ref="E9:E32" si="0">SUM(C9:D9)</f>
        <v>8204531.7481223745</v>
      </c>
      <c r="F9" s="1052">
        <f>'13 ri sif'!F17</f>
        <v>8204532.3900000006</v>
      </c>
      <c r="G9" s="999">
        <f>'13 ri sif'!G17</f>
        <v>8204532.3900000006</v>
      </c>
      <c r="H9" s="1003">
        <f t="shared" ref="H9:H33" si="1">SUM(G9-C9)</f>
        <v>4594810.6418776261</v>
      </c>
    </row>
    <row r="10" spans="2:8">
      <c r="B10" s="1053"/>
      <c r="C10" s="1052">
        <v>0</v>
      </c>
      <c r="D10" s="999">
        <v>0</v>
      </c>
      <c r="E10" s="1003">
        <f t="shared" si="0"/>
        <v>0</v>
      </c>
      <c r="F10" s="1052">
        <v>0</v>
      </c>
      <c r="G10" s="999">
        <v>0</v>
      </c>
      <c r="H10" s="1003">
        <f t="shared" si="1"/>
        <v>0</v>
      </c>
    </row>
    <row r="11" spans="2:8">
      <c r="B11" s="1053"/>
      <c r="C11" s="1052">
        <v>0</v>
      </c>
      <c r="D11" s="999">
        <v>0</v>
      </c>
      <c r="E11" s="1003">
        <f t="shared" si="0"/>
        <v>0</v>
      </c>
      <c r="F11" s="1052">
        <v>0</v>
      </c>
      <c r="G11" s="999">
        <v>0</v>
      </c>
      <c r="H11" s="1003">
        <f t="shared" si="1"/>
        <v>0</v>
      </c>
    </row>
    <row r="12" spans="2:8">
      <c r="B12" s="1053"/>
      <c r="C12" s="1052">
        <v>0</v>
      </c>
      <c r="D12" s="999">
        <v>0</v>
      </c>
      <c r="E12" s="1003">
        <f t="shared" si="0"/>
        <v>0</v>
      </c>
      <c r="F12" s="1052">
        <v>0</v>
      </c>
      <c r="G12" s="999">
        <v>0</v>
      </c>
      <c r="H12" s="1003">
        <f t="shared" si="1"/>
        <v>0</v>
      </c>
    </row>
    <row r="13" spans="2:8">
      <c r="B13" s="1053"/>
      <c r="C13" s="1052">
        <v>0</v>
      </c>
      <c r="D13" s="999">
        <v>0</v>
      </c>
      <c r="E13" s="1003">
        <f t="shared" si="0"/>
        <v>0</v>
      </c>
      <c r="F13" s="1052">
        <v>0</v>
      </c>
      <c r="G13" s="999">
        <v>0</v>
      </c>
      <c r="H13" s="1003">
        <f t="shared" si="1"/>
        <v>0</v>
      </c>
    </row>
    <row r="14" spans="2:8">
      <c r="B14" s="1053"/>
      <c r="C14" s="1052">
        <v>0</v>
      </c>
      <c r="D14" s="999">
        <v>0</v>
      </c>
      <c r="E14" s="1003">
        <f t="shared" si="0"/>
        <v>0</v>
      </c>
      <c r="F14" s="1052">
        <v>0</v>
      </c>
      <c r="G14" s="999">
        <v>0</v>
      </c>
      <c r="H14" s="1003">
        <f t="shared" si="1"/>
        <v>0</v>
      </c>
    </row>
    <row r="15" spans="2:8">
      <c r="B15" s="1053"/>
      <c r="C15" s="1052">
        <v>0</v>
      </c>
      <c r="D15" s="999">
        <v>0</v>
      </c>
      <c r="E15" s="1003">
        <f t="shared" si="0"/>
        <v>0</v>
      </c>
      <c r="F15" s="1052">
        <v>0</v>
      </c>
      <c r="G15" s="999">
        <v>0</v>
      </c>
      <c r="H15" s="1003">
        <f t="shared" si="1"/>
        <v>0</v>
      </c>
    </row>
    <row r="16" spans="2:8">
      <c r="B16" s="1053"/>
      <c r="C16" s="1052">
        <v>0</v>
      </c>
      <c r="D16" s="999">
        <v>0</v>
      </c>
      <c r="E16" s="1003">
        <f t="shared" si="0"/>
        <v>0</v>
      </c>
      <c r="F16" s="1052">
        <v>0</v>
      </c>
      <c r="G16" s="999">
        <v>0</v>
      </c>
      <c r="H16" s="1003">
        <f t="shared" si="1"/>
        <v>0</v>
      </c>
    </row>
    <row r="17" spans="2:8">
      <c r="B17" s="1053"/>
      <c r="C17" s="1052">
        <v>0</v>
      </c>
      <c r="D17" s="999">
        <v>0</v>
      </c>
      <c r="E17" s="1003">
        <f t="shared" si="0"/>
        <v>0</v>
      </c>
      <c r="F17" s="1052">
        <v>0</v>
      </c>
      <c r="G17" s="999">
        <v>0</v>
      </c>
      <c r="H17" s="1003">
        <f t="shared" si="1"/>
        <v>0</v>
      </c>
    </row>
    <row r="18" spans="2:8">
      <c r="B18" s="1053"/>
      <c r="C18" s="1052">
        <v>0</v>
      </c>
      <c r="D18" s="999">
        <v>0</v>
      </c>
      <c r="E18" s="1003">
        <f t="shared" si="0"/>
        <v>0</v>
      </c>
      <c r="F18" s="1052">
        <v>0</v>
      </c>
      <c r="G18" s="999">
        <v>0</v>
      </c>
      <c r="H18" s="1003">
        <f t="shared" si="1"/>
        <v>0</v>
      </c>
    </row>
    <row r="19" spans="2:8">
      <c r="B19" s="1053"/>
      <c r="C19" s="1052">
        <v>0</v>
      </c>
      <c r="D19" s="999">
        <v>0</v>
      </c>
      <c r="E19" s="1003">
        <f t="shared" si="0"/>
        <v>0</v>
      </c>
      <c r="F19" s="1052">
        <v>0</v>
      </c>
      <c r="G19" s="999">
        <v>0</v>
      </c>
      <c r="H19" s="1003">
        <f t="shared" si="1"/>
        <v>0</v>
      </c>
    </row>
    <row r="20" spans="2:8">
      <c r="B20" s="1053"/>
      <c r="C20" s="1052">
        <v>0</v>
      </c>
      <c r="D20" s="999">
        <v>0</v>
      </c>
      <c r="E20" s="1003">
        <f t="shared" si="0"/>
        <v>0</v>
      </c>
      <c r="F20" s="1052">
        <v>0</v>
      </c>
      <c r="G20" s="999">
        <v>0</v>
      </c>
      <c r="H20" s="1003">
        <f t="shared" si="1"/>
        <v>0</v>
      </c>
    </row>
    <row r="21" spans="2:8">
      <c r="B21" s="1053"/>
      <c r="C21" s="1052">
        <v>0</v>
      </c>
      <c r="D21" s="999">
        <v>0</v>
      </c>
      <c r="E21" s="1003">
        <f t="shared" si="0"/>
        <v>0</v>
      </c>
      <c r="F21" s="1052">
        <v>0</v>
      </c>
      <c r="G21" s="999">
        <v>0</v>
      </c>
      <c r="H21" s="1003">
        <f t="shared" si="1"/>
        <v>0</v>
      </c>
    </row>
    <row r="22" spans="2:8">
      <c r="B22" s="1053"/>
      <c r="C22" s="1052">
        <v>0</v>
      </c>
      <c r="D22" s="999">
        <v>0</v>
      </c>
      <c r="E22" s="1003">
        <f t="shared" si="0"/>
        <v>0</v>
      </c>
      <c r="F22" s="1052">
        <v>0</v>
      </c>
      <c r="G22" s="999">
        <v>0</v>
      </c>
      <c r="H22" s="1003">
        <f t="shared" si="1"/>
        <v>0</v>
      </c>
    </row>
    <row r="23" spans="2:8">
      <c r="B23" s="1053"/>
      <c r="C23" s="1052">
        <v>0</v>
      </c>
      <c r="D23" s="999">
        <v>0</v>
      </c>
      <c r="E23" s="1003">
        <f t="shared" si="0"/>
        <v>0</v>
      </c>
      <c r="F23" s="1052">
        <v>0</v>
      </c>
      <c r="G23" s="999">
        <v>0</v>
      </c>
      <c r="H23" s="1003">
        <f t="shared" si="1"/>
        <v>0</v>
      </c>
    </row>
    <row r="24" spans="2:8">
      <c r="B24" s="1053"/>
      <c r="C24" s="1052">
        <v>0</v>
      </c>
      <c r="D24" s="999">
        <v>0</v>
      </c>
      <c r="E24" s="1003">
        <f t="shared" si="0"/>
        <v>0</v>
      </c>
      <c r="F24" s="1052">
        <v>0</v>
      </c>
      <c r="G24" s="999">
        <v>0</v>
      </c>
      <c r="H24" s="1003">
        <f t="shared" si="1"/>
        <v>0</v>
      </c>
    </row>
    <row r="25" spans="2:8">
      <c r="B25" s="1053"/>
      <c r="C25" s="1052">
        <v>0</v>
      </c>
      <c r="D25" s="999">
        <v>0</v>
      </c>
      <c r="E25" s="1003">
        <f t="shared" si="0"/>
        <v>0</v>
      </c>
      <c r="F25" s="1052">
        <v>0</v>
      </c>
      <c r="G25" s="999">
        <v>0</v>
      </c>
      <c r="H25" s="1003">
        <f t="shared" si="1"/>
        <v>0</v>
      </c>
    </row>
    <row r="26" spans="2:8">
      <c r="B26" s="1053"/>
      <c r="C26" s="1052">
        <v>0</v>
      </c>
      <c r="D26" s="999">
        <v>0</v>
      </c>
      <c r="E26" s="1003">
        <f t="shared" si="0"/>
        <v>0</v>
      </c>
      <c r="F26" s="1052">
        <v>0</v>
      </c>
      <c r="G26" s="999">
        <v>0</v>
      </c>
      <c r="H26" s="1003">
        <f t="shared" si="1"/>
        <v>0</v>
      </c>
    </row>
    <row r="27" spans="2:8">
      <c r="B27" s="1053"/>
      <c r="C27" s="1052">
        <v>0</v>
      </c>
      <c r="D27" s="999">
        <v>0</v>
      </c>
      <c r="E27" s="1003">
        <f t="shared" si="0"/>
        <v>0</v>
      </c>
      <c r="F27" s="1052">
        <v>0</v>
      </c>
      <c r="G27" s="999">
        <v>0</v>
      </c>
      <c r="H27" s="1003">
        <f t="shared" si="1"/>
        <v>0</v>
      </c>
    </row>
    <row r="28" spans="2:8">
      <c r="B28" s="1053"/>
      <c r="C28" s="1052">
        <v>0</v>
      </c>
      <c r="D28" s="999">
        <v>0</v>
      </c>
      <c r="E28" s="1003">
        <f t="shared" si="0"/>
        <v>0</v>
      </c>
      <c r="F28" s="1052">
        <v>0</v>
      </c>
      <c r="G28" s="999">
        <v>0</v>
      </c>
      <c r="H28" s="1003">
        <f t="shared" si="1"/>
        <v>0</v>
      </c>
    </row>
    <row r="29" spans="2:8">
      <c r="B29" s="1053"/>
      <c r="C29" s="1052">
        <v>0</v>
      </c>
      <c r="D29" s="999">
        <v>0</v>
      </c>
      <c r="E29" s="1003">
        <f t="shared" si="0"/>
        <v>0</v>
      </c>
      <c r="F29" s="1052">
        <v>0</v>
      </c>
      <c r="G29" s="999">
        <v>0</v>
      </c>
      <c r="H29" s="1003">
        <f t="shared" si="1"/>
        <v>0</v>
      </c>
    </row>
    <row r="30" spans="2:8">
      <c r="B30" s="1053"/>
      <c r="C30" s="1052">
        <v>0</v>
      </c>
      <c r="D30" s="999">
        <v>0</v>
      </c>
      <c r="E30" s="1003">
        <f t="shared" si="0"/>
        <v>0</v>
      </c>
      <c r="F30" s="1052">
        <v>0</v>
      </c>
      <c r="G30" s="999">
        <v>0</v>
      </c>
      <c r="H30" s="1003">
        <f t="shared" si="1"/>
        <v>0</v>
      </c>
    </row>
    <row r="31" spans="2:8">
      <c r="B31" s="1053"/>
      <c r="C31" s="1052">
        <v>0</v>
      </c>
      <c r="D31" s="999">
        <v>0</v>
      </c>
      <c r="E31" s="1003">
        <f t="shared" si="0"/>
        <v>0</v>
      </c>
      <c r="F31" s="1052">
        <v>0</v>
      </c>
      <c r="G31" s="999">
        <v>0</v>
      </c>
      <c r="H31" s="1003">
        <f t="shared" si="1"/>
        <v>0</v>
      </c>
    </row>
    <row r="32" spans="2:8">
      <c r="B32" s="1053"/>
      <c r="C32" s="1052">
        <v>0</v>
      </c>
      <c r="D32" s="999">
        <v>0</v>
      </c>
      <c r="E32" s="1003">
        <f t="shared" si="0"/>
        <v>0</v>
      </c>
      <c r="F32" s="1052">
        <v>0</v>
      </c>
      <c r="G32" s="999">
        <v>0</v>
      </c>
      <c r="H32" s="1003">
        <f t="shared" si="1"/>
        <v>0</v>
      </c>
    </row>
    <row r="33" spans="2:8">
      <c r="B33" s="1054"/>
      <c r="C33" s="1055">
        <v>0</v>
      </c>
      <c r="D33" s="1008">
        <v>0</v>
      </c>
      <c r="E33" s="1056"/>
      <c r="F33" s="1055">
        <v>0</v>
      </c>
      <c r="G33" s="1008">
        <v>0</v>
      </c>
      <c r="H33" s="1057">
        <f t="shared" si="1"/>
        <v>0</v>
      </c>
    </row>
    <row r="34" spans="2:8" ht="15" customHeight="1">
      <c r="B34" s="1058" t="s">
        <v>87</v>
      </c>
      <c r="C34" s="1013">
        <f>SUM(C8:C33)</f>
        <v>104709875.48973811</v>
      </c>
      <c r="D34" s="1013">
        <f>SUM(D8:D33)</f>
        <v>6486555</v>
      </c>
      <c r="E34" s="1010">
        <f>SUM(C34:D34)</f>
        <v>111196430.48973811</v>
      </c>
      <c r="F34" s="1010">
        <f>SUM(F8:F33)</f>
        <v>106238739.84000002</v>
      </c>
      <c r="G34" s="1010">
        <f>SUM(G8:G33)</f>
        <v>106238739.84000002</v>
      </c>
      <c r="H34" s="1765">
        <f>G34-C34</f>
        <v>1528864.3502619117</v>
      </c>
    </row>
    <row r="35" spans="2:8" ht="12" customHeight="1">
      <c r="B35" s="1059"/>
      <c r="C35" s="1060"/>
      <c r="D35" s="1060"/>
      <c r="E35" s="1060"/>
      <c r="F35" s="1795" t="s">
        <v>4785</v>
      </c>
      <c r="G35" s="1796"/>
      <c r="H35" s="1766"/>
    </row>
    <row r="37" spans="2:8">
      <c r="B37" s="1797"/>
      <c r="C37" s="1797"/>
      <c r="D37" s="1797"/>
      <c r="E37" s="1797"/>
      <c r="F37" s="1797"/>
      <c r="G37" s="1797"/>
      <c r="H37" s="1797"/>
    </row>
    <row r="38" spans="2:8" ht="60" customHeight="1">
      <c r="B38" s="1798" t="s">
        <v>4790</v>
      </c>
      <c r="C38" s="1798"/>
      <c r="D38" s="1798"/>
      <c r="E38" s="1798"/>
      <c r="F38" s="1798"/>
      <c r="G38" s="1798"/>
      <c r="H38" s="1798"/>
    </row>
  </sheetData>
  <mergeCells count="10">
    <mergeCell ref="H34:H35"/>
    <mergeCell ref="F35:G35"/>
    <mergeCell ref="B37:H37"/>
    <mergeCell ref="B38:H38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D8F7-51D1-419D-93F8-90DA29AB143C}">
  <dimension ref="B1:Q97"/>
  <sheetViews>
    <sheetView topLeftCell="A55" workbookViewId="0">
      <selection activeCell="F35" sqref="F35"/>
    </sheetView>
  </sheetViews>
  <sheetFormatPr baseColWidth="10" defaultColWidth="11.42578125" defaultRowHeight="12"/>
  <cols>
    <col min="1" max="1" width="3.42578125" style="1061" customWidth="1"/>
    <col min="2" max="2" width="55.5703125" style="1245" customWidth="1"/>
    <col min="3" max="3" width="14.42578125" style="1061" bestFit="1" customWidth="1"/>
    <col min="4" max="4" width="16" style="1061" customWidth="1"/>
    <col min="5" max="7" width="14.42578125" style="1061" bestFit="1" customWidth="1"/>
    <col min="8" max="8" width="14.140625" style="1061" customWidth="1"/>
    <col min="9" max="9" width="4.5703125" style="1061" customWidth="1"/>
    <col min="10" max="16384" width="11.42578125" style="1061"/>
  </cols>
  <sheetData>
    <row r="1" spans="2:9" ht="12.75" customHeight="1" thickBot="1">
      <c r="I1" s="1246" t="s">
        <v>5014</v>
      </c>
    </row>
    <row r="2" spans="2:9">
      <c r="B2" s="1806" t="s">
        <v>2987</v>
      </c>
      <c r="C2" s="1807"/>
      <c r="D2" s="1807"/>
      <c r="E2" s="1807"/>
      <c r="F2" s="1807"/>
      <c r="G2" s="1807"/>
      <c r="H2" s="1808"/>
    </row>
    <row r="3" spans="2:9">
      <c r="B3" s="1809" t="s">
        <v>5015</v>
      </c>
      <c r="C3" s="1810"/>
      <c r="D3" s="1810"/>
      <c r="E3" s="1810"/>
      <c r="F3" s="1810"/>
      <c r="G3" s="1810"/>
      <c r="H3" s="1811"/>
    </row>
    <row r="4" spans="2:9">
      <c r="B4" s="1812"/>
      <c r="C4" s="1813"/>
      <c r="D4" s="1813"/>
      <c r="E4" s="1813"/>
      <c r="F4" s="1813"/>
      <c r="G4" s="1813"/>
      <c r="H4" s="1814"/>
    </row>
    <row r="5" spans="2:9" ht="12.75" thickBot="1">
      <c r="B5" s="1815" t="s">
        <v>4865</v>
      </c>
      <c r="C5" s="1816"/>
      <c r="D5" s="1816"/>
      <c r="E5" s="1816"/>
      <c r="F5" s="1816"/>
      <c r="G5" s="1816"/>
      <c r="H5" s="1817"/>
    </row>
    <row r="6" spans="2:9" ht="12.75" thickBot="1">
      <c r="B6" s="1818" t="s">
        <v>5016</v>
      </c>
      <c r="C6" s="1820" t="s">
        <v>789</v>
      </c>
      <c r="D6" s="1821"/>
      <c r="E6" s="1821"/>
      <c r="F6" s="1821"/>
      <c r="G6" s="1822"/>
      <c r="H6" s="1823" t="s">
        <v>5017</v>
      </c>
    </row>
    <row r="7" spans="2:9" ht="30" customHeight="1" thickBot="1">
      <c r="B7" s="1819"/>
      <c r="C7" s="1064" t="s">
        <v>5018</v>
      </c>
      <c r="D7" s="1064" t="s">
        <v>818</v>
      </c>
      <c r="E7" s="1064" t="s">
        <v>793</v>
      </c>
      <c r="F7" s="1064" t="s">
        <v>236</v>
      </c>
      <c r="G7" s="1064" t="s">
        <v>794</v>
      </c>
      <c r="H7" s="1824"/>
    </row>
    <row r="8" spans="2:9" ht="15" customHeight="1">
      <c r="B8" s="1247"/>
      <c r="C8" s="1248"/>
      <c r="D8" s="1248"/>
      <c r="E8" s="1248"/>
      <c r="F8" s="1248"/>
      <c r="G8" s="1248"/>
      <c r="H8" s="1248"/>
    </row>
    <row r="9" spans="2:9">
      <c r="B9" s="1240" t="s">
        <v>5019</v>
      </c>
      <c r="C9" s="1249"/>
      <c r="D9" s="1249"/>
      <c r="E9" s="1250"/>
      <c r="F9" s="1249"/>
      <c r="G9" s="1249"/>
      <c r="H9" s="1250"/>
    </row>
    <row r="10" spans="2:9">
      <c r="B10" s="1251" t="s">
        <v>5020</v>
      </c>
      <c r="C10" s="1252">
        <v>0</v>
      </c>
      <c r="D10" s="1252">
        <v>0</v>
      </c>
      <c r="E10" s="1253">
        <f>SUM(C10:D10)</f>
        <v>0</v>
      </c>
      <c r="F10" s="1252">
        <v>0</v>
      </c>
      <c r="G10" s="1252">
        <v>0</v>
      </c>
      <c r="H10" s="1253">
        <f>SUM(C10-G10)</f>
        <v>0</v>
      </c>
    </row>
    <row r="11" spans="2:9" ht="15" customHeight="1">
      <c r="B11" s="1210" t="s">
        <v>5021</v>
      </c>
      <c r="C11" s="1252">
        <v>0</v>
      </c>
      <c r="D11" s="1252">
        <v>0</v>
      </c>
      <c r="E11" s="1253">
        <f t="shared" ref="E11:E17" si="0">SUM(C11:D11)</f>
        <v>0</v>
      </c>
      <c r="F11" s="1252">
        <v>0</v>
      </c>
      <c r="G11" s="1252">
        <v>0</v>
      </c>
      <c r="H11" s="1253">
        <f t="shared" ref="H11:H41" si="1">SUM(C11-G11)</f>
        <v>0</v>
      </c>
    </row>
    <row r="12" spans="2:9">
      <c r="B12" s="1251" t="s">
        <v>5022</v>
      </c>
      <c r="C12" s="1252">
        <v>0</v>
      </c>
      <c r="D12" s="1252">
        <v>0</v>
      </c>
      <c r="E12" s="1253">
        <f t="shared" si="0"/>
        <v>0</v>
      </c>
      <c r="F12" s="1252">
        <v>0</v>
      </c>
      <c r="G12" s="1252">
        <v>0</v>
      </c>
      <c r="H12" s="1253">
        <f t="shared" si="1"/>
        <v>0</v>
      </c>
    </row>
    <row r="13" spans="2:9">
      <c r="B13" s="1251" t="s">
        <v>5023</v>
      </c>
      <c r="C13" s="1252">
        <v>0</v>
      </c>
      <c r="D13" s="1252">
        <v>0</v>
      </c>
      <c r="E13" s="1253">
        <f t="shared" si="0"/>
        <v>0</v>
      </c>
      <c r="F13" s="1252">
        <v>0</v>
      </c>
      <c r="G13" s="1252">
        <v>0</v>
      </c>
      <c r="H13" s="1253">
        <f t="shared" si="1"/>
        <v>0</v>
      </c>
    </row>
    <row r="14" spans="2:9">
      <c r="B14" s="1251" t="s">
        <v>5024</v>
      </c>
      <c r="C14" s="1252">
        <v>0</v>
      </c>
      <c r="D14" s="1252">
        <v>0</v>
      </c>
      <c r="E14" s="1253">
        <f t="shared" si="0"/>
        <v>0</v>
      </c>
      <c r="F14" s="1252">
        <v>0</v>
      </c>
      <c r="G14" s="1252">
        <v>0</v>
      </c>
      <c r="H14" s="1253">
        <f t="shared" si="1"/>
        <v>0</v>
      </c>
    </row>
    <row r="15" spans="2:9">
      <c r="B15" s="1251" t="s">
        <v>5025</v>
      </c>
      <c r="C15" s="1252">
        <v>0</v>
      </c>
      <c r="D15" s="1252">
        <v>0</v>
      </c>
      <c r="E15" s="1253">
        <f t="shared" si="0"/>
        <v>0</v>
      </c>
      <c r="F15" s="1252">
        <v>0</v>
      </c>
      <c r="G15" s="1252">
        <v>0</v>
      </c>
      <c r="H15" s="1253">
        <f t="shared" si="1"/>
        <v>0</v>
      </c>
    </row>
    <row r="16" spans="2:9" ht="15" customHeight="1">
      <c r="B16" s="1210" t="s">
        <v>5026</v>
      </c>
      <c r="C16" s="1252">
        <f>+EAI!E21</f>
        <v>101100153.74161573</v>
      </c>
      <c r="D16" s="1252">
        <f>+EAI!F21</f>
        <v>1891745</v>
      </c>
      <c r="E16" s="1253">
        <f t="shared" si="0"/>
        <v>102991898.74161573</v>
      </c>
      <c r="F16" s="1252">
        <f>+EAI!H21</f>
        <v>98034207.450000018</v>
      </c>
      <c r="G16" s="1252">
        <f>+EAI!I21</f>
        <v>98034207.450000018</v>
      </c>
      <c r="H16" s="1253">
        <f t="shared" si="1"/>
        <v>3065946.2916157097</v>
      </c>
    </row>
    <row r="17" spans="2:8">
      <c r="B17" s="1251" t="s">
        <v>5027</v>
      </c>
      <c r="C17" s="936">
        <f>SUM(C19:C29)</f>
        <v>0</v>
      </c>
      <c r="D17" s="936">
        <f t="shared" ref="D17:G17" si="2">SUM(D19:D29)</f>
        <v>0</v>
      </c>
      <c r="E17" s="1253">
        <f t="shared" si="0"/>
        <v>0</v>
      </c>
      <c r="F17" s="936">
        <f t="shared" si="2"/>
        <v>0</v>
      </c>
      <c r="G17" s="936">
        <f t="shared" si="2"/>
        <v>0</v>
      </c>
      <c r="H17" s="1253">
        <f t="shared" si="1"/>
        <v>0</v>
      </c>
    </row>
    <row r="18" spans="2:8">
      <c r="B18" s="1251" t="s">
        <v>5028</v>
      </c>
      <c r="C18" s="1242"/>
      <c r="D18" s="1242"/>
      <c r="E18" s="1254"/>
      <c r="F18" s="1242"/>
      <c r="G18" s="1242"/>
      <c r="H18" s="1254"/>
    </row>
    <row r="19" spans="2:8">
      <c r="B19" s="1255" t="s">
        <v>5029</v>
      </c>
      <c r="C19" s="939">
        <v>0</v>
      </c>
      <c r="D19" s="939">
        <v>0</v>
      </c>
      <c r="E19" s="1254">
        <f>SUM(C19:D19)</f>
        <v>0</v>
      </c>
      <c r="F19" s="939">
        <v>0</v>
      </c>
      <c r="G19" s="939">
        <v>0</v>
      </c>
      <c r="H19" s="1254">
        <f t="shared" si="1"/>
        <v>0</v>
      </c>
    </row>
    <row r="20" spans="2:8">
      <c r="B20" s="1255" t="s">
        <v>5030</v>
      </c>
      <c r="C20" s="939">
        <v>0</v>
      </c>
      <c r="D20" s="939">
        <v>0</v>
      </c>
      <c r="E20" s="1254">
        <f t="shared" ref="E20:E41" si="3">SUM(C20:D20)</f>
        <v>0</v>
      </c>
      <c r="F20" s="939">
        <v>0</v>
      </c>
      <c r="G20" s="939">
        <v>0</v>
      </c>
      <c r="H20" s="1254">
        <f t="shared" si="1"/>
        <v>0</v>
      </c>
    </row>
    <row r="21" spans="2:8">
      <c r="B21" s="1255" t="s">
        <v>5031</v>
      </c>
      <c r="C21" s="939">
        <v>0</v>
      </c>
      <c r="D21" s="939">
        <v>0</v>
      </c>
      <c r="E21" s="1254">
        <f t="shared" si="3"/>
        <v>0</v>
      </c>
      <c r="F21" s="939">
        <v>0</v>
      </c>
      <c r="G21" s="939">
        <v>0</v>
      </c>
      <c r="H21" s="1254">
        <f t="shared" si="1"/>
        <v>0</v>
      </c>
    </row>
    <row r="22" spans="2:8">
      <c r="B22" s="1255" t="s">
        <v>5032</v>
      </c>
      <c r="C22" s="939">
        <v>0</v>
      </c>
      <c r="D22" s="939">
        <v>0</v>
      </c>
      <c r="E22" s="1254">
        <f t="shared" si="3"/>
        <v>0</v>
      </c>
      <c r="F22" s="939">
        <v>0</v>
      </c>
      <c r="G22" s="939">
        <v>0</v>
      </c>
      <c r="H22" s="1254">
        <f t="shared" si="1"/>
        <v>0</v>
      </c>
    </row>
    <row r="23" spans="2:8">
      <c r="B23" s="1255" t="s">
        <v>5033</v>
      </c>
      <c r="C23" s="939">
        <v>0</v>
      </c>
      <c r="D23" s="939">
        <v>0</v>
      </c>
      <c r="E23" s="1254">
        <f t="shared" si="3"/>
        <v>0</v>
      </c>
      <c r="F23" s="939">
        <v>0</v>
      </c>
      <c r="G23" s="939">
        <v>0</v>
      </c>
      <c r="H23" s="1254">
        <f t="shared" si="1"/>
        <v>0</v>
      </c>
    </row>
    <row r="24" spans="2:8">
      <c r="B24" s="1255" t="s">
        <v>5034</v>
      </c>
      <c r="C24" s="939">
        <v>0</v>
      </c>
      <c r="D24" s="939">
        <v>0</v>
      </c>
      <c r="E24" s="1254">
        <f t="shared" si="3"/>
        <v>0</v>
      </c>
      <c r="F24" s="939">
        <v>0</v>
      </c>
      <c r="G24" s="939">
        <v>0</v>
      </c>
      <c r="H24" s="1254">
        <f t="shared" si="1"/>
        <v>0</v>
      </c>
    </row>
    <row r="25" spans="2:8">
      <c r="B25" s="1255" t="s">
        <v>5035</v>
      </c>
      <c r="C25" s="939">
        <v>0</v>
      </c>
      <c r="D25" s="939">
        <v>0</v>
      </c>
      <c r="E25" s="1254">
        <f t="shared" si="3"/>
        <v>0</v>
      </c>
      <c r="F25" s="939">
        <v>0</v>
      </c>
      <c r="G25" s="939">
        <v>0</v>
      </c>
      <c r="H25" s="1254">
        <f>SUM(C25-G25)</f>
        <v>0</v>
      </c>
    </row>
    <row r="26" spans="2:8">
      <c r="B26" s="1255" t="s">
        <v>5036</v>
      </c>
      <c r="C26" s="939">
        <v>0</v>
      </c>
      <c r="D26" s="939">
        <v>0</v>
      </c>
      <c r="E26" s="1254">
        <f t="shared" si="3"/>
        <v>0</v>
      </c>
      <c r="F26" s="939">
        <v>0</v>
      </c>
      <c r="G26" s="939">
        <v>0</v>
      </c>
      <c r="H26" s="1254">
        <f t="shared" si="1"/>
        <v>0</v>
      </c>
    </row>
    <row r="27" spans="2:8">
      <c r="B27" s="1255" t="s">
        <v>5037</v>
      </c>
      <c r="C27" s="939">
        <v>0</v>
      </c>
      <c r="D27" s="939">
        <v>0</v>
      </c>
      <c r="E27" s="1254">
        <f t="shared" si="3"/>
        <v>0</v>
      </c>
      <c r="F27" s="939">
        <v>0</v>
      </c>
      <c r="G27" s="939">
        <v>0</v>
      </c>
      <c r="H27" s="1254">
        <f t="shared" si="1"/>
        <v>0</v>
      </c>
    </row>
    <row r="28" spans="2:8">
      <c r="B28" s="1255" t="s">
        <v>5038</v>
      </c>
      <c r="C28" s="939">
        <v>0</v>
      </c>
      <c r="D28" s="939">
        <v>0</v>
      </c>
      <c r="E28" s="1254">
        <f t="shared" si="3"/>
        <v>0</v>
      </c>
      <c r="F28" s="939">
        <v>0</v>
      </c>
      <c r="G28" s="939">
        <v>0</v>
      </c>
      <c r="H28" s="1254">
        <f t="shared" si="1"/>
        <v>0</v>
      </c>
    </row>
    <row r="29" spans="2:8" ht="24">
      <c r="B29" s="1255" t="s">
        <v>5039</v>
      </c>
      <c r="C29" s="939">
        <v>0</v>
      </c>
      <c r="D29" s="939">
        <v>0</v>
      </c>
      <c r="E29" s="1254">
        <f t="shared" si="3"/>
        <v>0</v>
      </c>
      <c r="F29" s="939">
        <v>0</v>
      </c>
      <c r="G29" s="939">
        <v>0</v>
      </c>
      <c r="H29" s="1254">
        <f t="shared" si="1"/>
        <v>0</v>
      </c>
    </row>
    <row r="30" spans="2:8" ht="24.75" customHeight="1">
      <c r="B30" s="1210" t="s">
        <v>5040</v>
      </c>
      <c r="C30" s="936">
        <f>SUM(C31:C35)</f>
        <v>0</v>
      </c>
      <c r="D30" s="936">
        <f t="shared" ref="D30:H30" si="4">SUM(D31:D35)</f>
        <v>0</v>
      </c>
      <c r="E30" s="1253">
        <f t="shared" si="3"/>
        <v>0</v>
      </c>
      <c r="F30" s="936">
        <f t="shared" si="4"/>
        <v>0</v>
      </c>
      <c r="G30" s="936">
        <f t="shared" si="4"/>
        <v>0</v>
      </c>
      <c r="H30" s="1253">
        <f t="shared" si="4"/>
        <v>0</v>
      </c>
    </row>
    <row r="31" spans="2:8">
      <c r="B31" s="1256" t="s">
        <v>5041</v>
      </c>
      <c r="C31" s="939">
        <v>0</v>
      </c>
      <c r="D31" s="939">
        <v>0</v>
      </c>
      <c r="E31" s="1254">
        <f t="shared" si="3"/>
        <v>0</v>
      </c>
      <c r="F31" s="939">
        <v>0</v>
      </c>
      <c r="G31" s="939">
        <v>0</v>
      </c>
      <c r="H31" s="1254">
        <f t="shared" si="1"/>
        <v>0</v>
      </c>
    </row>
    <row r="32" spans="2:8">
      <c r="B32" s="1256" t="s">
        <v>5042</v>
      </c>
      <c r="C32" s="939">
        <v>0</v>
      </c>
      <c r="D32" s="939">
        <v>0</v>
      </c>
      <c r="E32" s="1254">
        <f t="shared" si="3"/>
        <v>0</v>
      </c>
      <c r="F32" s="939">
        <v>0</v>
      </c>
      <c r="G32" s="939">
        <v>0</v>
      </c>
      <c r="H32" s="1254">
        <f t="shared" si="1"/>
        <v>0</v>
      </c>
    </row>
    <row r="33" spans="2:8">
      <c r="B33" s="1256" t="s">
        <v>5043</v>
      </c>
      <c r="C33" s="939">
        <v>0</v>
      </c>
      <c r="D33" s="939">
        <v>0</v>
      </c>
      <c r="E33" s="1254">
        <f t="shared" si="3"/>
        <v>0</v>
      </c>
      <c r="F33" s="939">
        <v>0</v>
      </c>
      <c r="G33" s="939">
        <v>0</v>
      </c>
      <c r="H33" s="1254">
        <f t="shared" si="1"/>
        <v>0</v>
      </c>
    </row>
    <row r="34" spans="2:8">
      <c r="B34" s="1255" t="s">
        <v>5044</v>
      </c>
      <c r="C34" s="939">
        <v>0</v>
      </c>
      <c r="D34" s="939">
        <v>0</v>
      </c>
      <c r="E34" s="1254">
        <f t="shared" si="3"/>
        <v>0</v>
      </c>
      <c r="F34" s="939">
        <v>0</v>
      </c>
      <c r="G34" s="939">
        <v>0</v>
      </c>
      <c r="H34" s="1254">
        <f t="shared" si="1"/>
        <v>0</v>
      </c>
    </row>
    <row r="35" spans="2:8">
      <c r="B35" s="1256" t="s">
        <v>5045</v>
      </c>
      <c r="C35" s="939">
        <v>0</v>
      </c>
      <c r="D35" s="939">
        <v>0</v>
      </c>
      <c r="E35" s="1254">
        <f t="shared" si="3"/>
        <v>0</v>
      </c>
      <c r="F35" s="939">
        <v>0</v>
      </c>
      <c r="G35" s="939">
        <v>0</v>
      </c>
      <c r="H35" s="1254">
        <f t="shared" si="1"/>
        <v>0</v>
      </c>
    </row>
    <row r="36" spans="2:8">
      <c r="B36" s="1251" t="s">
        <v>5046</v>
      </c>
      <c r="C36" s="1252">
        <v>0</v>
      </c>
      <c r="D36" s="1252">
        <v>0</v>
      </c>
      <c r="E36" s="1254">
        <f t="shared" si="3"/>
        <v>0</v>
      </c>
      <c r="F36" s="1252">
        <v>0</v>
      </c>
      <c r="G36" s="1252">
        <v>0</v>
      </c>
      <c r="H36" s="1253">
        <f t="shared" si="1"/>
        <v>0</v>
      </c>
    </row>
    <row r="37" spans="2:8">
      <c r="B37" s="1251" t="s">
        <v>5047</v>
      </c>
      <c r="C37" s="1253">
        <f>C38</f>
        <v>0</v>
      </c>
      <c r="D37" s="936">
        <f t="shared" ref="D37:G37" si="5">D38</f>
        <v>0</v>
      </c>
      <c r="E37" s="1254">
        <f t="shared" si="3"/>
        <v>0</v>
      </c>
      <c r="F37" s="936">
        <f t="shared" si="5"/>
        <v>0</v>
      </c>
      <c r="G37" s="936">
        <f t="shared" si="5"/>
        <v>0</v>
      </c>
      <c r="H37" s="1253">
        <f t="shared" si="1"/>
        <v>0</v>
      </c>
    </row>
    <row r="38" spans="2:8">
      <c r="B38" s="1256" t="s">
        <v>5048</v>
      </c>
      <c r="C38" s="939">
        <v>0</v>
      </c>
      <c r="D38" s="939">
        <v>0</v>
      </c>
      <c r="E38" s="1254">
        <f t="shared" si="3"/>
        <v>0</v>
      </c>
      <c r="F38" s="939">
        <v>0</v>
      </c>
      <c r="G38" s="939">
        <v>0</v>
      </c>
      <c r="H38" s="1254">
        <f t="shared" si="1"/>
        <v>0</v>
      </c>
    </row>
    <row r="39" spans="2:8">
      <c r="B39" s="1251" t="s">
        <v>5049</v>
      </c>
      <c r="C39" s="936">
        <f>SUM(C40:C41)</f>
        <v>3609721.7481223745</v>
      </c>
      <c r="D39" s="936">
        <f t="shared" ref="D39:G39" si="6">SUM(D40:D41)</f>
        <v>4594810</v>
      </c>
      <c r="E39" s="1254">
        <f t="shared" si="3"/>
        <v>8204531.7481223745</v>
      </c>
      <c r="F39" s="936">
        <f t="shared" si="6"/>
        <v>8204532.3900000006</v>
      </c>
      <c r="G39" s="936">
        <f t="shared" si="6"/>
        <v>8204532.3900000006</v>
      </c>
      <c r="H39" s="1253">
        <f t="shared" si="1"/>
        <v>-4594810.6418776261</v>
      </c>
    </row>
    <row r="40" spans="2:8">
      <c r="B40" s="1256" t="s">
        <v>5050</v>
      </c>
      <c r="C40" s="939">
        <v>0</v>
      </c>
      <c r="D40" s="939">
        <v>0</v>
      </c>
      <c r="E40" s="1254">
        <f t="shared" si="3"/>
        <v>0</v>
      </c>
      <c r="F40" s="939">
        <v>0</v>
      </c>
      <c r="G40" s="939">
        <v>0</v>
      </c>
      <c r="H40" s="1254">
        <f t="shared" si="1"/>
        <v>0</v>
      </c>
    </row>
    <row r="41" spans="2:8">
      <c r="B41" s="1256" t="s">
        <v>5051</v>
      </c>
      <c r="C41" s="939">
        <f>EAI!E24</f>
        <v>3609721.7481223745</v>
      </c>
      <c r="D41" s="939">
        <f>EAI!F24</f>
        <v>4594810</v>
      </c>
      <c r="E41" s="1254">
        <f t="shared" si="3"/>
        <v>8204531.7481223745</v>
      </c>
      <c r="F41" s="939">
        <f>EAI!H24</f>
        <v>8204532.3900000006</v>
      </c>
      <c r="G41" s="939">
        <f>EAI!I24</f>
        <v>8204532.3900000006</v>
      </c>
      <c r="H41" s="1254">
        <f t="shared" si="1"/>
        <v>-4594810.6418776261</v>
      </c>
    </row>
    <row r="42" spans="2:8" ht="15" customHeight="1">
      <c r="B42" s="1251"/>
      <c r="C42" s="1242"/>
      <c r="D42" s="1242"/>
      <c r="E42" s="1254"/>
      <c r="F42" s="1242"/>
      <c r="G42" s="1242"/>
      <c r="H42" s="1254"/>
    </row>
    <row r="43" spans="2:8">
      <c r="B43" s="1240" t="s">
        <v>5052</v>
      </c>
      <c r="C43" s="1825">
        <f>SUM(C10:C17,C30,C36,C37,C39)</f>
        <v>104709875.48973811</v>
      </c>
      <c r="D43" s="1825">
        <f t="shared" ref="D43:H43" si="7">SUM(D10:D17,D30,D36,D37,D39)</f>
        <v>6486555</v>
      </c>
      <c r="E43" s="1805">
        <f t="shared" si="7"/>
        <v>111196430.48973811</v>
      </c>
      <c r="F43" s="1825">
        <f t="shared" si="7"/>
        <v>106238739.84000002</v>
      </c>
      <c r="G43" s="1825">
        <f t="shared" si="7"/>
        <v>106238739.84000002</v>
      </c>
      <c r="H43" s="1805">
        <f t="shared" si="7"/>
        <v>-1528864.3502619164</v>
      </c>
    </row>
    <row r="44" spans="2:8">
      <c r="B44" s="1240" t="s">
        <v>5053</v>
      </c>
      <c r="C44" s="1825"/>
      <c r="D44" s="1825"/>
      <c r="E44" s="1805"/>
      <c r="F44" s="1825"/>
      <c r="G44" s="1825"/>
      <c r="H44" s="1805"/>
    </row>
    <row r="45" spans="2:8">
      <c r="B45" s="1240" t="s">
        <v>5054</v>
      </c>
      <c r="C45" s="1243">
        <v>0</v>
      </c>
      <c r="D45" s="1243">
        <v>0</v>
      </c>
      <c r="E45" s="1257">
        <v>0</v>
      </c>
      <c r="F45" s="1243">
        <v>0</v>
      </c>
      <c r="G45" s="1243">
        <v>0</v>
      </c>
      <c r="H45" s="1253">
        <v>0</v>
      </c>
    </row>
    <row r="46" spans="2:8" ht="15" customHeight="1">
      <c r="B46" s="1258"/>
      <c r="C46" s="1259"/>
      <c r="D46" s="1259"/>
      <c r="E46" s="1260"/>
      <c r="F46" s="1259"/>
      <c r="G46" s="1259"/>
      <c r="H46" s="1260"/>
    </row>
    <row r="47" spans="2:8">
      <c r="B47" s="1240" t="s">
        <v>5055</v>
      </c>
      <c r="C47" s="1261"/>
      <c r="D47" s="1259"/>
      <c r="E47" s="1260"/>
      <c r="F47" s="1259"/>
      <c r="G47" s="1259"/>
      <c r="H47" s="1260"/>
    </row>
    <row r="48" spans="2:8">
      <c r="B48" s="1258" t="s">
        <v>5056</v>
      </c>
      <c r="C48" s="936">
        <f>SUM(C49:C56)</f>
        <v>0</v>
      </c>
      <c r="D48" s="936">
        <f t="shared" ref="D48:H48" si="8">SUM(D49:D56)</f>
        <v>0</v>
      </c>
      <c r="E48" s="1253">
        <f>SUM(E49:E56)</f>
        <v>0</v>
      </c>
      <c r="F48" s="936">
        <f t="shared" si="8"/>
        <v>0</v>
      </c>
      <c r="G48" s="936">
        <f t="shared" si="8"/>
        <v>0</v>
      </c>
      <c r="H48" s="1253">
        <f t="shared" si="8"/>
        <v>0</v>
      </c>
    </row>
    <row r="49" spans="2:8" ht="24">
      <c r="B49" s="1210" t="s">
        <v>5057</v>
      </c>
      <c r="C49" s="939">
        <v>0</v>
      </c>
      <c r="D49" s="939">
        <v>0</v>
      </c>
      <c r="E49" s="1254">
        <f>SUM(C49:D49)</f>
        <v>0</v>
      </c>
      <c r="F49" s="939">
        <v>0</v>
      </c>
      <c r="G49" s="939">
        <v>0</v>
      </c>
      <c r="H49" s="1254">
        <f t="shared" ref="H49:H66" si="9">SUM(C49-G49)</f>
        <v>0</v>
      </c>
    </row>
    <row r="50" spans="2:8">
      <c r="B50" s="1210" t="s">
        <v>5058</v>
      </c>
      <c r="C50" s="939">
        <v>0</v>
      </c>
      <c r="D50" s="939">
        <v>0</v>
      </c>
      <c r="E50" s="1254">
        <f t="shared" ref="E50:E56" si="10">SUM(C50:D50)</f>
        <v>0</v>
      </c>
      <c r="F50" s="939">
        <v>0</v>
      </c>
      <c r="G50" s="939">
        <v>0</v>
      </c>
      <c r="H50" s="1254">
        <f t="shared" si="9"/>
        <v>0</v>
      </c>
    </row>
    <row r="51" spans="2:8">
      <c r="B51" s="1210" t="s">
        <v>5059</v>
      </c>
      <c r="C51" s="939">
        <v>0</v>
      </c>
      <c r="D51" s="939">
        <v>0</v>
      </c>
      <c r="E51" s="1254">
        <f t="shared" si="10"/>
        <v>0</v>
      </c>
      <c r="F51" s="939">
        <v>0</v>
      </c>
      <c r="G51" s="939">
        <v>0</v>
      </c>
      <c r="H51" s="1254">
        <f t="shared" si="9"/>
        <v>0</v>
      </c>
    </row>
    <row r="52" spans="2:8" ht="36">
      <c r="B52" s="1210" t="s">
        <v>5060</v>
      </c>
      <c r="C52" s="939">
        <v>0</v>
      </c>
      <c r="D52" s="939">
        <v>0</v>
      </c>
      <c r="E52" s="1254">
        <f t="shared" si="10"/>
        <v>0</v>
      </c>
      <c r="F52" s="939">
        <v>0</v>
      </c>
      <c r="G52" s="939">
        <v>0</v>
      </c>
      <c r="H52" s="1254">
        <f t="shared" si="9"/>
        <v>0</v>
      </c>
    </row>
    <row r="53" spans="2:8">
      <c r="B53" s="1210" t="s">
        <v>5061</v>
      </c>
      <c r="C53" s="939">
        <v>0</v>
      </c>
      <c r="D53" s="939">
        <v>0</v>
      </c>
      <c r="E53" s="1254">
        <f t="shared" si="10"/>
        <v>0</v>
      </c>
      <c r="F53" s="939">
        <v>0</v>
      </c>
      <c r="G53" s="939">
        <v>0</v>
      </c>
      <c r="H53" s="1254">
        <f t="shared" si="9"/>
        <v>0</v>
      </c>
    </row>
    <row r="54" spans="2:8" ht="24">
      <c r="B54" s="1210" t="s">
        <v>5062</v>
      </c>
      <c r="C54" s="939">
        <v>0</v>
      </c>
      <c r="D54" s="939">
        <v>0</v>
      </c>
      <c r="E54" s="1254">
        <f t="shared" si="10"/>
        <v>0</v>
      </c>
      <c r="F54" s="939">
        <v>0</v>
      </c>
      <c r="G54" s="939">
        <v>0</v>
      </c>
      <c r="H54" s="1254">
        <f t="shared" si="9"/>
        <v>0</v>
      </c>
    </row>
    <row r="55" spans="2:8" ht="24">
      <c r="B55" s="1210" t="s">
        <v>5063</v>
      </c>
      <c r="C55" s="939">
        <v>0</v>
      </c>
      <c r="D55" s="939">
        <v>0</v>
      </c>
      <c r="E55" s="1254">
        <f t="shared" si="10"/>
        <v>0</v>
      </c>
      <c r="F55" s="939">
        <v>0</v>
      </c>
      <c r="G55" s="939">
        <v>0</v>
      </c>
      <c r="H55" s="1254">
        <f t="shared" si="9"/>
        <v>0</v>
      </c>
    </row>
    <row r="56" spans="2:8" ht="24">
      <c r="B56" s="1210" t="s">
        <v>5064</v>
      </c>
      <c r="C56" s="939">
        <v>0</v>
      </c>
      <c r="D56" s="939">
        <v>0</v>
      </c>
      <c r="E56" s="1254">
        <f t="shared" si="10"/>
        <v>0</v>
      </c>
      <c r="F56" s="939">
        <v>0</v>
      </c>
      <c r="G56" s="939">
        <v>0</v>
      </c>
      <c r="H56" s="1254">
        <f t="shared" si="9"/>
        <v>0</v>
      </c>
    </row>
    <row r="57" spans="2:8">
      <c r="B57" s="1258" t="s">
        <v>5065</v>
      </c>
      <c r="C57" s="936">
        <f>SUM(C58:C61)</f>
        <v>0</v>
      </c>
      <c r="D57" s="936">
        <f t="shared" ref="D57:H57" si="11">SUM(D58:D61)</f>
        <v>0</v>
      </c>
      <c r="E57" s="1253">
        <f t="shared" si="11"/>
        <v>0</v>
      </c>
      <c r="F57" s="936">
        <f t="shared" si="11"/>
        <v>0</v>
      </c>
      <c r="G57" s="936">
        <f t="shared" si="11"/>
        <v>0</v>
      </c>
      <c r="H57" s="1253">
        <f t="shared" si="11"/>
        <v>0</v>
      </c>
    </row>
    <row r="58" spans="2:8">
      <c r="B58" s="1251" t="s">
        <v>5066</v>
      </c>
      <c r="C58" s="939">
        <v>0</v>
      </c>
      <c r="D58" s="939">
        <v>0</v>
      </c>
      <c r="E58" s="1254">
        <f>SUM(C58:D58)</f>
        <v>0</v>
      </c>
      <c r="F58" s="939">
        <v>0</v>
      </c>
      <c r="G58" s="939">
        <v>0</v>
      </c>
      <c r="H58" s="1254">
        <f t="shared" si="9"/>
        <v>0</v>
      </c>
    </row>
    <row r="59" spans="2:8">
      <c r="B59" s="1251" t="s">
        <v>5067</v>
      </c>
      <c r="C59" s="939">
        <v>0</v>
      </c>
      <c r="D59" s="939">
        <v>0</v>
      </c>
      <c r="E59" s="1254">
        <f t="shared" ref="E59:E64" si="12">SUM(C59:D59)</f>
        <v>0</v>
      </c>
      <c r="F59" s="939">
        <v>0</v>
      </c>
      <c r="G59" s="939">
        <v>0</v>
      </c>
      <c r="H59" s="1254">
        <f t="shared" si="9"/>
        <v>0</v>
      </c>
    </row>
    <row r="60" spans="2:8">
      <c r="B60" s="1251" t="s">
        <v>5068</v>
      </c>
      <c r="C60" s="939">
        <v>0</v>
      </c>
      <c r="D60" s="939">
        <v>0</v>
      </c>
      <c r="E60" s="1254">
        <f t="shared" si="12"/>
        <v>0</v>
      </c>
      <c r="F60" s="939">
        <v>0</v>
      </c>
      <c r="G60" s="939">
        <v>0</v>
      </c>
      <c r="H60" s="1254">
        <f t="shared" si="9"/>
        <v>0</v>
      </c>
    </row>
    <row r="61" spans="2:8">
      <c r="B61" s="1251" t="s">
        <v>5069</v>
      </c>
      <c r="C61" s="939">
        <v>0</v>
      </c>
      <c r="D61" s="939">
        <v>0</v>
      </c>
      <c r="E61" s="1254">
        <f t="shared" si="12"/>
        <v>0</v>
      </c>
      <c r="F61" s="939">
        <v>0</v>
      </c>
      <c r="G61" s="939">
        <v>0</v>
      </c>
      <c r="H61" s="1254">
        <f t="shared" si="9"/>
        <v>0</v>
      </c>
    </row>
    <row r="62" spans="2:8">
      <c r="B62" s="1258" t="s">
        <v>5070</v>
      </c>
      <c r="C62" s="936">
        <f>SUM(C63:C64)</f>
        <v>0</v>
      </c>
      <c r="D62" s="936">
        <f t="shared" ref="D62:H62" si="13">SUM(D63:D64)</f>
        <v>0</v>
      </c>
      <c r="E62" s="1253">
        <f>SUM(E63:E64)</f>
        <v>0</v>
      </c>
      <c r="F62" s="936">
        <f t="shared" si="13"/>
        <v>0</v>
      </c>
      <c r="G62" s="936">
        <f t="shared" si="13"/>
        <v>0</v>
      </c>
      <c r="H62" s="1253">
        <f t="shared" si="13"/>
        <v>0</v>
      </c>
    </row>
    <row r="63" spans="2:8" ht="24">
      <c r="B63" s="1210" t="s">
        <v>5071</v>
      </c>
      <c r="C63" s="939">
        <v>0</v>
      </c>
      <c r="D63" s="939">
        <v>0</v>
      </c>
      <c r="E63" s="1254">
        <f t="shared" si="12"/>
        <v>0</v>
      </c>
      <c r="F63" s="939">
        <v>0</v>
      </c>
      <c r="G63" s="939">
        <v>0</v>
      </c>
      <c r="H63" s="1254">
        <f t="shared" si="9"/>
        <v>0</v>
      </c>
    </row>
    <row r="64" spans="2:8">
      <c r="B64" s="1251" t="s">
        <v>5072</v>
      </c>
      <c r="C64" s="939">
        <v>0</v>
      </c>
      <c r="D64" s="939">
        <v>0</v>
      </c>
      <c r="E64" s="1254">
        <f t="shared" si="12"/>
        <v>0</v>
      </c>
      <c r="F64" s="939">
        <v>0</v>
      </c>
      <c r="G64" s="939">
        <v>0</v>
      </c>
      <c r="H64" s="1254">
        <f t="shared" si="9"/>
        <v>0</v>
      </c>
    </row>
    <row r="65" spans="2:8" ht="21.75" customHeight="1">
      <c r="B65" s="1207" t="s">
        <v>5073</v>
      </c>
      <c r="C65" s="1252">
        <v>0</v>
      </c>
      <c r="D65" s="1252">
        <v>0</v>
      </c>
      <c r="E65" s="1253">
        <f>SUM(D65,C65)</f>
        <v>0</v>
      </c>
      <c r="F65" s="1252">
        <v>0</v>
      </c>
      <c r="G65" s="1252">
        <v>0</v>
      </c>
      <c r="H65" s="1253">
        <f t="shared" si="9"/>
        <v>0</v>
      </c>
    </row>
    <row r="66" spans="2:8">
      <c r="B66" s="1258" t="s">
        <v>5074</v>
      </c>
      <c r="C66" s="1252">
        <v>0</v>
      </c>
      <c r="D66" s="1252">
        <v>0</v>
      </c>
      <c r="E66" s="1253">
        <f>SUM(D66,C66)</f>
        <v>0</v>
      </c>
      <c r="F66" s="1252">
        <v>0</v>
      </c>
      <c r="G66" s="1252">
        <v>0</v>
      </c>
      <c r="H66" s="1253">
        <f t="shared" si="9"/>
        <v>0</v>
      </c>
    </row>
    <row r="67" spans="2:8" ht="15" customHeight="1">
      <c r="B67" s="1258"/>
      <c r="C67" s="1242"/>
      <c r="D67" s="1242"/>
      <c r="E67" s="1254"/>
      <c r="F67" s="1242"/>
      <c r="G67" s="1242"/>
      <c r="H67" s="1254"/>
    </row>
    <row r="68" spans="2:8" ht="24">
      <c r="B68" s="1201" t="s">
        <v>5075</v>
      </c>
      <c r="C68" s="936">
        <f>SUM(C48,C57,C62,C65,C66)</f>
        <v>0</v>
      </c>
      <c r="D68" s="936">
        <f t="shared" ref="D68:H68" si="14">SUM(D48,D57,D62,D65,D66)</f>
        <v>0</v>
      </c>
      <c r="E68" s="1253">
        <f t="shared" si="14"/>
        <v>0</v>
      </c>
      <c r="F68" s="936">
        <f t="shared" si="14"/>
        <v>0</v>
      </c>
      <c r="G68" s="936">
        <f t="shared" si="14"/>
        <v>0</v>
      </c>
      <c r="H68" s="1253">
        <f t="shared" si="14"/>
        <v>0</v>
      </c>
    </row>
    <row r="69" spans="2:8" ht="15" customHeight="1">
      <c r="B69" s="1258"/>
      <c r="C69" s="1242"/>
      <c r="D69" s="1242"/>
      <c r="E69" s="1254"/>
      <c r="F69" s="1242"/>
      <c r="G69" s="1242"/>
      <c r="H69" s="1254"/>
    </row>
    <row r="70" spans="2:8">
      <c r="B70" s="1240" t="s">
        <v>5076</v>
      </c>
      <c r="C70" s="936">
        <f>C71</f>
        <v>0</v>
      </c>
      <c r="D70" s="936">
        <f t="shared" ref="D70:H70" si="15">D71</f>
        <v>0</v>
      </c>
      <c r="E70" s="1253">
        <f t="shared" si="15"/>
        <v>0</v>
      </c>
      <c r="F70" s="936">
        <f t="shared" si="15"/>
        <v>0</v>
      </c>
      <c r="G70" s="936">
        <f t="shared" si="15"/>
        <v>0</v>
      </c>
      <c r="H70" s="1253">
        <f t="shared" si="15"/>
        <v>0</v>
      </c>
    </row>
    <row r="71" spans="2:8">
      <c r="B71" s="1251" t="s">
        <v>5077</v>
      </c>
      <c r="C71" s="1242">
        <v>0</v>
      </c>
      <c r="D71" s="1242">
        <v>0</v>
      </c>
      <c r="E71" s="1254">
        <f t="shared" ref="E71" si="16">SUM(C71:D71)</f>
        <v>0</v>
      </c>
      <c r="F71" s="1242">
        <v>0</v>
      </c>
      <c r="G71" s="1242">
        <v>0</v>
      </c>
      <c r="H71" s="1254">
        <f t="shared" ref="H71" si="17">SUM(C71-G71)</f>
        <v>0</v>
      </c>
    </row>
    <row r="72" spans="2:8" ht="15" customHeight="1">
      <c r="B72" s="1258"/>
      <c r="C72" s="1242"/>
      <c r="D72" s="1242"/>
      <c r="E72" s="1254"/>
      <c r="F72" s="1242"/>
      <c r="G72" s="1242"/>
      <c r="H72" s="1254"/>
    </row>
    <row r="73" spans="2:8">
      <c r="B73" s="1240" t="s">
        <v>5078</v>
      </c>
      <c r="C73" s="936">
        <f>SUM(C43,C68,C70)</f>
        <v>104709875.48973811</v>
      </c>
      <c r="D73" s="936">
        <f t="shared" ref="D73:H73" si="18">SUM(D43,D68,D70)</f>
        <v>6486555</v>
      </c>
      <c r="E73" s="1253">
        <f t="shared" si="18"/>
        <v>111196430.48973811</v>
      </c>
      <c r="F73" s="936">
        <f t="shared" si="18"/>
        <v>106238739.84000002</v>
      </c>
      <c r="G73" s="936">
        <f t="shared" si="18"/>
        <v>106238739.84000002</v>
      </c>
      <c r="H73" s="1253">
        <f t="shared" si="18"/>
        <v>-1528864.3502619164</v>
      </c>
    </row>
    <row r="74" spans="2:8" ht="15" customHeight="1">
      <c r="B74" s="1258"/>
      <c r="C74" s="1073"/>
      <c r="D74" s="1073"/>
      <c r="E74" s="1073"/>
      <c r="F74" s="1073"/>
      <c r="G74" s="1073"/>
      <c r="H74" s="1073"/>
    </row>
    <row r="75" spans="2:8">
      <c r="B75" s="1262" t="s">
        <v>5079</v>
      </c>
      <c r="C75" s="936"/>
      <c r="D75" s="936"/>
      <c r="E75" s="1253"/>
      <c r="F75" s="936"/>
      <c r="G75" s="936"/>
      <c r="H75" s="1253"/>
    </row>
    <row r="76" spans="2:8" ht="24" customHeight="1">
      <c r="B76" s="1210" t="s">
        <v>5080</v>
      </c>
      <c r="C76" s="939">
        <v>0</v>
      </c>
      <c r="D76" s="939">
        <v>0</v>
      </c>
      <c r="E76" s="1254">
        <f t="shared" ref="E76:E77" si="19">SUM(C76:D76)</f>
        <v>0</v>
      </c>
      <c r="F76" s="939">
        <v>0</v>
      </c>
      <c r="G76" s="939">
        <v>0</v>
      </c>
      <c r="H76" s="1254">
        <f t="shared" ref="H76:H78" si="20">SUM(C76-G76)</f>
        <v>0</v>
      </c>
    </row>
    <row r="77" spans="2:8" ht="24" customHeight="1">
      <c r="B77" s="1210" t="s">
        <v>5081</v>
      </c>
      <c r="C77" s="939">
        <v>0</v>
      </c>
      <c r="D77" s="939">
        <v>0</v>
      </c>
      <c r="E77" s="1254">
        <f t="shared" si="19"/>
        <v>0</v>
      </c>
      <c r="F77" s="939">
        <v>0</v>
      </c>
      <c r="G77" s="939">
        <v>0</v>
      </c>
      <c r="H77" s="1254">
        <f t="shared" si="20"/>
        <v>0</v>
      </c>
    </row>
    <row r="78" spans="2:8" ht="12.75" thickBot="1">
      <c r="B78" s="1263" t="s">
        <v>5082</v>
      </c>
      <c r="C78" s="1264">
        <f>SUM(C76:C77)</f>
        <v>0</v>
      </c>
      <c r="D78" s="1264">
        <f t="shared" ref="D78:G78" si="21">SUM(D76:D77)</f>
        <v>0</v>
      </c>
      <c r="E78" s="1265">
        <f t="shared" si="21"/>
        <v>0</v>
      </c>
      <c r="F78" s="1264">
        <f t="shared" si="21"/>
        <v>0</v>
      </c>
      <c r="G78" s="1264">
        <f t="shared" si="21"/>
        <v>0</v>
      </c>
      <c r="H78" s="1265">
        <f t="shared" si="20"/>
        <v>0</v>
      </c>
    </row>
    <row r="97" spans="17:17">
      <c r="Q97" s="1246"/>
    </row>
  </sheetData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L37"/>
  <sheetViews>
    <sheetView workbookViewId="0">
      <selection activeCell="G31" sqref="G31"/>
    </sheetView>
  </sheetViews>
  <sheetFormatPr baseColWidth="10" defaultRowHeight="15"/>
  <cols>
    <col min="1" max="1" width="2.42578125" style="354" customWidth="1"/>
    <col min="2" max="2" width="4.5703125" style="346" customWidth="1"/>
    <col min="3" max="3" width="52.28515625" style="346" customWidth="1"/>
    <col min="4" max="9" width="12.7109375" style="346" customWidth="1"/>
    <col min="10" max="10" width="3.7109375" style="354" customWidth="1"/>
    <col min="11" max="16384" width="11.42578125" style="361"/>
  </cols>
  <sheetData>
    <row r="1" spans="2:12">
      <c r="B1" s="1742"/>
      <c r="C1" s="1743"/>
      <c r="D1" s="1743"/>
      <c r="E1" s="1743"/>
      <c r="F1" s="1743"/>
      <c r="G1" s="1743"/>
      <c r="H1" s="1743"/>
      <c r="I1" s="1744"/>
    </row>
    <row r="2" spans="2:12">
      <c r="B2" s="1745" t="s">
        <v>2987</v>
      </c>
      <c r="C2" s="1746"/>
      <c r="D2" s="1746"/>
      <c r="E2" s="1746"/>
      <c r="F2" s="1746"/>
      <c r="G2" s="1746"/>
      <c r="H2" s="1746"/>
      <c r="I2" s="1747"/>
    </row>
    <row r="3" spans="2:12">
      <c r="B3" s="1745" t="s">
        <v>814</v>
      </c>
      <c r="C3" s="1746"/>
      <c r="D3" s="1746"/>
      <c r="E3" s="1746"/>
      <c r="F3" s="1746"/>
      <c r="G3" s="1746"/>
      <c r="H3" s="1746"/>
      <c r="I3" s="1747"/>
    </row>
    <row r="4" spans="2:12">
      <c r="B4" s="1745" t="s">
        <v>828</v>
      </c>
      <c r="C4" s="1746"/>
      <c r="D4" s="1746"/>
      <c r="E4" s="1746"/>
      <c r="F4" s="1746"/>
      <c r="G4" s="1746"/>
      <c r="H4" s="1746"/>
      <c r="I4" s="1747"/>
    </row>
    <row r="5" spans="2:12">
      <c r="B5" s="1748" t="str">
        <f>+EA!C3</f>
        <v>Del 1 de enero al 31 de diciembre de 2021</v>
      </c>
      <c r="C5" s="1749"/>
      <c r="D5" s="1749"/>
      <c r="E5" s="1749"/>
      <c r="F5" s="1749"/>
      <c r="G5" s="1749"/>
      <c r="H5" s="1749"/>
      <c r="I5" s="1750"/>
    </row>
    <row r="6" spans="2:12" s="354" customFormat="1" ht="12" customHeight="1">
      <c r="B6" s="317"/>
      <c r="C6" s="452"/>
      <c r="D6" s="317"/>
      <c r="E6" s="317"/>
      <c r="F6" s="317"/>
      <c r="G6" s="317"/>
      <c r="H6" s="317"/>
      <c r="I6" s="317"/>
    </row>
    <row r="7" spans="2:12">
      <c r="B7" s="1827" t="s">
        <v>230</v>
      </c>
      <c r="C7" s="1827"/>
      <c r="D7" s="1828" t="s">
        <v>75</v>
      </c>
      <c r="E7" s="1828"/>
      <c r="F7" s="1828"/>
      <c r="G7" s="1828"/>
      <c r="H7" s="1828"/>
      <c r="I7" s="1828" t="s">
        <v>816</v>
      </c>
    </row>
    <row r="8" spans="2:12" ht="22.5">
      <c r="B8" s="1827"/>
      <c r="C8" s="1827"/>
      <c r="D8" s="653" t="s">
        <v>817</v>
      </c>
      <c r="E8" s="653" t="s">
        <v>818</v>
      </c>
      <c r="F8" s="653" t="s">
        <v>793</v>
      </c>
      <c r="G8" s="653" t="s">
        <v>236</v>
      </c>
      <c r="H8" s="653" t="s">
        <v>819</v>
      </c>
      <c r="I8" s="1828"/>
      <c r="L8" s="553"/>
    </row>
    <row r="9" spans="2:12" ht="11.25" customHeight="1">
      <c r="B9" s="1827"/>
      <c r="C9" s="1827"/>
      <c r="D9" s="653">
        <v>1</v>
      </c>
      <c r="E9" s="653">
        <v>2</v>
      </c>
      <c r="F9" s="653" t="s">
        <v>820</v>
      </c>
      <c r="G9" s="653">
        <v>4</v>
      </c>
      <c r="H9" s="653">
        <v>5</v>
      </c>
      <c r="I9" s="653" t="s">
        <v>821</v>
      </c>
    </row>
    <row r="10" spans="2:12">
      <c r="B10" s="1829" t="s">
        <v>169</v>
      </c>
      <c r="C10" s="1830"/>
      <c r="D10" s="381">
        <f>SUM(D11:D14)</f>
        <v>19299621.387999997</v>
      </c>
      <c r="E10" s="381">
        <f>SUM(E11:E14)</f>
        <v>0</v>
      </c>
      <c r="F10" s="381">
        <f>+D10+E10</f>
        <v>19299621.387999997</v>
      </c>
      <c r="G10" s="381">
        <f>SUM(G11:G14)</f>
        <v>15074778.560000001</v>
      </c>
      <c r="H10" s="381">
        <f>SUM(H11:H14)</f>
        <v>15074778.560000001</v>
      </c>
      <c r="I10" s="381">
        <f>+F10-G10</f>
        <v>4224842.827999996</v>
      </c>
      <c r="L10" s="1396"/>
    </row>
    <row r="11" spans="2:12">
      <c r="B11" s="382"/>
      <c r="C11" s="383" t="s">
        <v>829</v>
      </c>
      <c r="D11" s="374">
        <v>12896881.199999997</v>
      </c>
      <c r="E11" s="374"/>
      <c r="F11" s="374">
        <f t="shared" ref="F11:F31" si="0">+D11+E11</f>
        <v>12896881.199999997</v>
      </c>
      <c r="G11" s="374">
        <f>+'VARIACIONES EGRESOS'!R10</f>
        <v>10187364.18</v>
      </c>
      <c r="H11" s="374">
        <f>+G11</f>
        <v>10187364.18</v>
      </c>
      <c r="I11" s="374">
        <f t="shared" ref="I11:I31" si="1">+F11-G11</f>
        <v>2709517.0199999977</v>
      </c>
    </row>
    <row r="12" spans="2:12">
      <c r="B12" s="382"/>
      <c r="C12" s="383" t="s">
        <v>830</v>
      </c>
      <c r="D12" s="374">
        <v>2102233.952</v>
      </c>
      <c r="E12" s="374"/>
      <c r="F12" s="374">
        <f t="shared" si="0"/>
        <v>2102233.952</v>
      </c>
      <c r="G12" s="374">
        <f>+'VARIACIONES EGRESOS'!R11+'VARIACIONES EGRESOS'!R12+'VARIACIONES EGRESOS'!R13</f>
        <v>1601521.51</v>
      </c>
      <c r="H12" s="374">
        <f t="shared" ref="H12:H14" si="2">+G12</f>
        <v>1601521.51</v>
      </c>
      <c r="I12" s="374">
        <f t="shared" si="1"/>
        <v>500712.44200000004</v>
      </c>
      <c r="K12" s="551"/>
    </row>
    <row r="13" spans="2:12">
      <c r="B13" s="382"/>
      <c r="C13" s="383" t="s">
        <v>831</v>
      </c>
      <c r="D13" s="374">
        <v>2553469.804</v>
      </c>
      <c r="E13" s="374"/>
      <c r="F13" s="374">
        <f t="shared" si="0"/>
        <v>2553469.804</v>
      </c>
      <c r="G13" s="374">
        <f>+'VARIACIONES EGRESOS'!R14+'VARIACIONES EGRESOS'!R15+'VARIACIONES EGRESOS'!R16</f>
        <v>1780713.3099999998</v>
      </c>
      <c r="H13" s="374">
        <f t="shared" si="2"/>
        <v>1780713.3099999998</v>
      </c>
      <c r="I13" s="374">
        <f t="shared" si="1"/>
        <v>772756.49400000018</v>
      </c>
    </row>
    <row r="14" spans="2:12">
      <c r="B14" s="382"/>
      <c r="C14" s="383" t="s">
        <v>832</v>
      </c>
      <c r="D14" s="374">
        <v>1747036.4319999996</v>
      </c>
      <c r="E14" s="374"/>
      <c r="F14" s="374">
        <f t="shared" si="0"/>
        <v>1747036.4319999996</v>
      </c>
      <c r="G14" s="374">
        <f>+'VARIACIONES EGRESOS'!R18+'VARIACIONES EGRESOS'!R17</f>
        <v>1505179.56</v>
      </c>
      <c r="H14" s="374">
        <f t="shared" si="2"/>
        <v>1505179.56</v>
      </c>
      <c r="I14" s="374">
        <f t="shared" si="1"/>
        <v>241856.87199999951</v>
      </c>
    </row>
    <row r="15" spans="2:12">
      <c r="B15" s="1829" t="s">
        <v>167</v>
      </c>
      <c r="C15" s="1830"/>
      <c r="D15" s="381">
        <f>SUM(D16:D19)</f>
        <v>2153010.4640000006</v>
      </c>
      <c r="E15" s="381">
        <f>SUM(E16:E19)</f>
        <v>0</v>
      </c>
      <c r="F15" s="381">
        <f t="shared" si="0"/>
        <v>2153010.4640000006</v>
      </c>
      <c r="G15" s="381">
        <f>SUM(G16:G19)</f>
        <v>862793.71</v>
      </c>
      <c r="H15" s="381">
        <f>SUM(H16:H19)</f>
        <v>862793.71</v>
      </c>
      <c r="I15" s="381">
        <f t="shared" si="1"/>
        <v>1290216.7540000007</v>
      </c>
    </row>
    <row r="16" spans="2:12" ht="22.5">
      <c r="B16" s="382"/>
      <c r="C16" s="383" t="s">
        <v>833</v>
      </c>
      <c r="D16" s="374">
        <v>544100</v>
      </c>
      <c r="E16" s="374"/>
      <c r="F16" s="374">
        <f t="shared" si="0"/>
        <v>544100</v>
      </c>
      <c r="G16" s="374">
        <f>+'VARIACIONES EGRESOS'!R21+'VARIACIONES EGRESOS'!R22+'VARIACIONES EGRESOS'!R23</f>
        <v>239011.44</v>
      </c>
      <c r="H16" s="374">
        <f t="shared" ref="H16:H19" si="3">+G16</f>
        <v>239011.44</v>
      </c>
      <c r="I16" s="374">
        <f t="shared" si="1"/>
        <v>305088.56</v>
      </c>
    </row>
    <row r="17" spans="1:10">
      <c r="B17" s="382"/>
      <c r="C17" s="383" t="s">
        <v>834</v>
      </c>
      <c r="D17" s="374">
        <v>49999.999999999993</v>
      </c>
      <c r="E17" s="374"/>
      <c r="F17" s="374">
        <f t="shared" si="0"/>
        <v>49999.999999999993</v>
      </c>
      <c r="G17" s="374">
        <f>+'VARIACIONES EGRESOS'!R24</f>
        <v>48403.05</v>
      </c>
      <c r="H17" s="374">
        <f t="shared" si="3"/>
        <v>48403.05</v>
      </c>
      <c r="I17" s="374">
        <f t="shared" si="1"/>
        <v>1596.9499999999898</v>
      </c>
    </row>
    <row r="18" spans="1:10">
      <c r="B18" s="382"/>
      <c r="C18" s="383" t="s">
        <v>835</v>
      </c>
      <c r="D18" s="374">
        <v>2000</v>
      </c>
      <c r="E18" s="374"/>
      <c r="F18" s="374">
        <f t="shared" si="0"/>
        <v>2000</v>
      </c>
      <c r="G18" s="374">
        <f>+'VARIACIONES EGRESOS'!R25</f>
        <v>833.18</v>
      </c>
      <c r="H18" s="374">
        <f t="shared" si="3"/>
        <v>833.18</v>
      </c>
      <c r="I18" s="374">
        <f t="shared" si="1"/>
        <v>1166.8200000000002</v>
      </c>
    </row>
    <row r="19" spans="1:10">
      <c r="B19" s="382"/>
      <c r="C19" s="383" t="s">
        <v>836</v>
      </c>
      <c r="D19" s="374">
        <v>1556910.4640000004</v>
      </c>
      <c r="E19" s="374"/>
      <c r="F19" s="374">
        <f t="shared" si="0"/>
        <v>1556910.4640000004</v>
      </c>
      <c r="G19" s="374">
        <f>+'VARIACIONES EGRESOS'!R26+'VARIACIONES EGRESOS'!R68+'VARIACIONES EGRESOS'!R82+'VARIACIONES EGRESOS'!R94+'VARIACIONES EGRESOS'!R112+'VARIACIONES EGRESOS'!R123</f>
        <v>574546.04</v>
      </c>
      <c r="H19" s="374">
        <f t="shared" si="3"/>
        <v>574546.04</v>
      </c>
      <c r="I19" s="374">
        <f t="shared" si="1"/>
        <v>982364.42400000035</v>
      </c>
    </row>
    <row r="20" spans="1:10">
      <c r="B20" s="1829" t="s">
        <v>168</v>
      </c>
      <c r="C20" s="1830"/>
      <c r="D20" s="381">
        <f>SUM(D21:D28)</f>
        <v>115790657.28028001</v>
      </c>
      <c r="E20" s="381">
        <f>SUM(E21:E28)</f>
        <v>2683490</v>
      </c>
      <c r="F20" s="381">
        <f t="shared" si="0"/>
        <v>118474147.28028001</v>
      </c>
      <c r="G20" s="381">
        <f>SUM(G21:G28)</f>
        <v>35452187.299999997</v>
      </c>
      <c r="H20" s="381">
        <f>SUM(H21:H28)</f>
        <v>35452187.299999997</v>
      </c>
      <c r="I20" s="381">
        <f t="shared" si="1"/>
        <v>83021959.980280012</v>
      </c>
    </row>
    <row r="21" spans="1:10">
      <c r="B21" s="382"/>
      <c r="C21" s="383" t="s">
        <v>837</v>
      </c>
      <c r="D21" s="374">
        <v>70325665.868799999</v>
      </c>
      <c r="E21" s="374">
        <v>835000</v>
      </c>
      <c r="F21" s="374">
        <f t="shared" si="0"/>
        <v>71160665.868799999</v>
      </c>
      <c r="G21" s="374">
        <f>SUM('VARIACIONES EGRESOS'!R29:R33)+SUM('VARIACIONES EGRESOS'!R71:R72)+SUM('VARIACIONES EGRESOS'!R85:R86)+SUM('VARIACIONES EGRESOS'!R97:R98)+SUM('VARIACIONES EGRESOS'!R115:R116)+'VARIACIONES EGRESOS'!R126+'VARIACIONES EGRESOS'!R133+'VARIACIONES EGRESOS'!R134+'VARIACIONES EGRESOS'!R135</f>
        <v>12560817.130000001</v>
      </c>
      <c r="H21" s="374">
        <f t="shared" ref="H21:H28" si="4">+G21</f>
        <v>12560817.130000001</v>
      </c>
      <c r="I21" s="374">
        <f t="shared" si="1"/>
        <v>58599848.738799997</v>
      </c>
    </row>
    <row r="22" spans="1:10">
      <c r="B22" s="382"/>
      <c r="C22" s="383" t="s">
        <v>838</v>
      </c>
      <c r="D22" s="374">
        <v>39600</v>
      </c>
      <c r="E22" s="374"/>
      <c r="F22" s="374">
        <f t="shared" si="0"/>
        <v>39600</v>
      </c>
      <c r="G22" s="374">
        <f>+'VARIACIONES EGRESOS'!R34</f>
        <v>36150</v>
      </c>
      <c r="H22" s="374">
        <f t="shared" si="4"/>
        <v>36150</v>
      </c>
      <c r="I22" s="374">
        <f t="shared" si="1"/>
        <v>3450</v>
      </c>
    </row>
    <row r="23" spans="1:10">
      <c r="B23" s="382"/>
      <c r="C23" s="383" t="s">
        <v>839</v>
      </c>
      <c r="D23" s="374">
        <v>14500600</v>
      </c>
      <c r="E23" s="374">
        <v>995490</v>
      </c>
      <c r="F23" s="374">
        <f t="shared" si="0"/>
        <v>15496090</v>
      </c>
      <c r="G23" s="374">
        <f>SUM('VARIACIONES EGRESOS'!R35:R38)+SUM('VARIACIONES EGRESOS'!R73:R73)+'VARIACIONES EGRESOS'!R99+'VARIACIONES EGRESOS'!R127+'VARIACIONES EGRESOS'!R136+'VARIACIONES EGRESOS'!R137</f>
        <v>9206568.4899999984</v>
      </c>
      <c r="H23" s="374">
        <f t="shared" si="4"/>
        <v>9206568.4899999984</v>
      </c>
      <c r="I23" s="374">
        <f t="shared" si="1"/>
        <v>6289521.5100000016</v>
      </c>
    </row>
    <row r="24" spans="1:10">
      <c r="B24" s="382"/>
      <c r="C24" s="383" t="s">
        <v>840</v>
      </c>
      <c r="D24" s="374">
        <v>570388.0896399999</v>
      </c>
      <c r="E24" s="374">
        <v>78000</v>
      </c>
      <c r="F24" s="374">
        <f t="shared" si="0"/>
        <v>648388.0896399999</v>
      </c>
      <c r="G24" s="374">
        <f>SUM('VARIACIONES EGRESOS'!R39:R41)+'VARIACIONES EGRESOS'!R74+'VARIACIONES EGRESOS'!R138</f>
        <v>386838.92</v>
      </c>
      <c r="H24" s="374">
        <f t="shared" si="4"/>
        <v>386838.92</v>
      </c>
      <c r="I24" s="374">
        <f t="shared" si="1"/>
        <v>261549.16963999992</v>
      </c>
    </row>
    <row r="25" spans="1:10">
      <c r="B25" s="382"/>
      <c r="C25" s="383" t="s">
        <v>841</v>
      </c>
      <c r="D25" s="374">
        <v>19517941.469999999</v>
      </c>
      <c r="E25" s="374">
        <v>775000</v>
      </c>
      <c r="F25" s="374">
        <f t="shared" si="0"/>
        <v>20292941.469999999</v>
      </c>
      <c r="G25" s="374">
        <f>SUM('VARIACIONES EGRESOS'!R42:R45)+SUM('VARIACIONES EGRESOS'!R75:R76)+SUM('VARIACIONES EGRESOS'!R87:R88)+SUM('VARIACIONES EGRESOS'!R100:R101)+SUM('VARIACIONES EGRESOS'!R117:R118)+'VARIACIONES EGRESOS'!R107+'VARIACIONES EGRESOS'!R128+'VARIACIONES EGRESOS'!R139+'VARIACIONES EGRESOS'!R140</f>
        <v>9053529.9499999993</v>
      </c>
      <c r="H25" s="374">
        <f t="shared" si="4"/>
        <v>9053529.9499999993</v>
      </c>
      <c r="I25" s="374">
        <f t="shared" si="1"/>
        <v>11239411.52</v>
      </c>
    </row>
    <row r="26" spans="1:10">
      <c r="B26" s="382"/>
      <c r="C26" s="383" t="s">
        <v>842</v>
      </c>
      <c r="D26" s="374">
        <v>2128000</v>
      </c>
      <c r="E26" s="374"/>
      <c r="F26" s="374">
        <f t="shared" si="0"/>
        <v>2128000</v>
      </c>
      <c r="G26" s="374">
        <f>+SUM('VARIACIONES EGRESOS'!R46:R47)</f>
        <v>150779.51</v>
      </c>
      <c r="H26" s="374">
        <f t="shared" si="4"/>
        <v>150779.51</v>
      </c>
      <c r="I26" s="374">
        <f t="shared" si="1"/>
        <v>1977220.49</v>
      </c>
    </row>
    <row r="27" spans="1:10">
      <c r="B27" s="382"/>
      <c r="C27" s="383" t="s">
        <v>843</v>
      </c>
      <c r="D27" s="374">
        <v>2409000</v>
      </c>
      <c r="E27" s="374"/>
      <c r="F27" s="374">
        <f t="shared" si="0"/>
        <v>2409000</v>
      </c>
      <c r="G27" s="374">
        <f>SUM('VARIACIONES EGRESOS'!R48:R49)</f>
        <v>672533.02</v>
      </c>
      <c r="H27" s="374">
        <f t="shared" si="4"/>
        <v>672533.02</v>
      </c>
      <c r="I27" s="374">
        <f t="shared" si="1"/>
        <v>1736466.98</v>
      </c>
    </row>
    <row r="28" spans="1:10">
      <c r="B28" s="382"/>
      <c r="C28" s="383" t="s">
        <v>137</v>
      </c>
      <c r="D28" s="374">
        <v>6299461.8518399987</v>
      </c>
      <c r="E28" s="374"/>
      <c r="F28" s="374">
        <f t="shared" si="0"/>
        <v>6299461.8518399987</v>
      </c>
      <c r="G28" s="374">
        <f>SUM('VARIACIONES EGRESOS'!R50:R51)</f>
        <v>3384970.28</v>
      </c>
      <c r="H28" s="374">
        <f t="shared" si="4"/>
        <v>3384970.28</v>
      </c>
      <c r="I28" s="374">
        <f t="shared" si="1"/>
        <v>2914491.5718399989</v>
      </c>
    </row>
    <row r="29" spans="1:10">
      <c r="B29" s="1829" t="s">
        <v>806</v>
      </c>
      <c r="C29" s="1830"/>
      <c r="D29" s="381">
        <f>SUM(D30:D31)</f>
        <v>1016994.2842170001</v>
      </c>
      <c r="E29" s="381">
        <f>SUM(E30:E31)</f>
        <v>0</v>
      </c>
      <c r="F29" s="381">
        <f t="shared" si="0"/>
        <v>1016994.2842170001</v>
      </c>
      <c r="G29" s="381">
        <f>SUM(G30:G31)</f>
        <v>794214.88000000012</v>
      </c>
      <c r="H29" s="381">
        <f>SUM(H30:H31)</f>
        <v>794214.88000000012</v>
      </c>
      <c r="I29" s="381">
        <f t="shared" si="1"/>
        <v>222779.404217</v>
      </c>
    </row>
    <row r="30" spans="1:10">
      <c r="B30" s="382"/>
      <c r="C30" s="383" t="s">
        <v>623</v>
      </c>
      <c r="D30" s="374">
        <v>240000</v>
      </c>
      <c r="E30" s="374"/>
      <c r="F30" s="374">
        <f t="shared" si="0"/>
        <v>240000</v>
      </c>
      <c r="G30" s="374">
        <f>+'VARIACIONES EGRESOS'!R55</f>
        <v>149551.82</v>
      </c>
      <c r="H30" s="374">
        <f t="shared" ref="H30:H31" si="5">+G30</f>
        <v>149551.82</v>
      </c>
      <c r="I30" s="374">
        <f t="shared" si="1"/>
        <v>90448.18</v>
      </c>
    </row>
    <row r="31" spans="1:10">
      <c r="B31" s="382"/>
      <c r="C31" s="383" t="s">
        <v>630</v>
      </c>
      <c r="D31" s="374">
        <v>776994.28421700012</v>
      </c>
      <c r="E31" s="374"/>
      <c r="F31" s="374">
        <f t="shared" si="0"/>
        <v>776994.28421700012</v>
      </c>
      <c r="G31" s="374">
        <f>+'VARIACIONES EGRESOS'!R56+'VARIACIONES EGRESOS'!R57</f>
        <v>644663.06000000006</v>
      </c>
      <c r="H31" s="374">
        <f t="shared" si="5"/>
        <v>644663.06000000006</v>
      </c>
      <c r="I31" s="374">
        <f t="shared" si="1"/>
        <v>132331.22421700007</v>
      </c>
    </row>
    <row r="32" spans="1:10" s="369" customFormat="1">
      <c r="A32" s="365"/>
      <c r="B32" s="384"/>
      <c r="C32" s="385" t="s">
        <v>822</v>
      </c>
      <c r="D32" s="386">
        <f>+D10+D15+D20+D29</f>
        <v>138260283.41649699</v>
      </c>
      <c r="E32" s="386">
        <f t="shared" ref="E32:I32" si="6">+E10+E15+E20+E29</f>
        <v>2683490</v>
      </c>
      <c r="F32" s="386">
        <f t="shared" si="6"/>
        <v>140943773.41649699</v>
      </c>
      <c r="G32" s="386">
        <f>+G10+G15+G20+G29</f>
        <v>52183974.449999996</v>
      </c>
      <c r="H32" s="386">
        <f t="shared" si="6"/>
        <v>52183974.449999996</v>
      </c>
      <c r="I32" s="386">
        <f t="shared" si="6"/>
        <v>88759798.966497019</v>
      </c>
      <c r="J32" s="365"/>
    </row>
    <row r="34" spans="3:9" ht="15.75">
      <c r="D34" s="387"/>
      <c r="E34" s="387"/>
      <c r="F34" s="387"/>
      <c r="G34" s="387"/>
      <c r="H34" s="387"/>
      <c r="I34" s="387"/>
    </row>
    <row r="35" spans="3:9">
      <c r="C35" s="562"/>
      <c r="F35" s="562"/>
      <c r="G35" s="562"/>
      <c r="H35" s="562"/>
    </row>
    <row r="36" spans="3:9">
      <c r="C36" s="561" t="s">
        <v>2867</v>
      </c>
      <c r="F36" s="1826" t="s">
        <v>754</v>
      </c>
      <c r="G36" s="1826"/>
      <c r="H36" s="1826"/>
    </row>
    <row r="37" spans="3:9">
      <c r="C37" s="561" t="s">
        <v>1765</v>
      </c>
      <c r="F37" s="1826" t="s">
        <v>666</v>
      </c>
      <c r="G37" s="1826"/>
      <c r="H37" s="1826"/>
    </row>
  </sheetData>
  <mergeCells count="14">
    <mergeCell ref="F36:H36"/>
    <mergeCell ref="F37:H37"/>
    <mergeCell ref="B7:C9"/>
    <mergeCell ref="D7:H7"/>
    <mergeCell ref="I7:I8"/>
    <mergeCell ref="B10:C10"/>
    <mergeCell ref="B15:C15"/>
    <mergeCell ref="B20:C20"/>
    <mergeCell ref="B29:C29"/>
    <mergeCell ref="B1:I1"/>
    <mergeCell ref="B2:I2"/>
    <mergeCell ref="B3:I3"/>
    <mergeCell ref="B4:I4"/>
    <mergeCell ref="B5:I5"/>
  </mergeCells>
  <pageMargins left="0.86614173228346458" right="0.55118110236220474" top="0.39370078740157483" bottom="0.23622047244094491" header="0.31496062992125984" footer="0.19685039370078741"/>
  <pageSetup scale="90" fitToHeight="2" orientation="landscape" r:id="rId1"/>
  <ignoredErrors>
    <ignoredError sqref="F10:F15 H15:H31 F20:F29" formula="1"/>
    <ignoredError sqref="G29:G3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41BA-C29D-4DB3-9B39-8A032741C81E}">
  <dimension ref="B1:I81"/>
  <sheetViews>
    <sheetView topLeftCell="A69" workbookViewId="0">
      <selection activeCell="F38" sqref="F38:G42"/>
    </sheetView>
  </sheetViews>
  <sheetFormatPr baseColWidth="10" defaultColWidth="11.42578125" defaultRowHeight="12"/>
  <cols>
    <col min="1" max="1" width="4.7109375" style="921" customWidth="1"/>
    <col min="2" max="2" width="58.7109375" style="921" customWidth="1"/>
    <col min="3" max="3" width="14.42578125" style="921" bestFit="1" customWidth="1"/>
    <col min="4" max="4" width="13.28515625" style="921" bestFit="1" customWidth="1"/>
    <col min="5" max="8" width="14.42578125" style="921" bestFit="1" customWidth="1"/>
    <col min="9" max="9" width="4.7109375" style="921" customWidth="1"/>
    <col min="10" max="16384" width="11.42578125" style="921"/>
  </cols>
  <sheetData>
    <row r="1" spans="2:9" ht="15" customHeight="1">
      <c r="I1" s="1101" t="s">
        <v>4808</v>
      </c>
    </row>
    <row r="2" spans="2:9" ht="15" customHeight="1">
      <c r="B2" s="1769" t="s">
        <v>2987</v>
      </c>
      <c r="C2" s="1770"/>
      <c r="D2" s="1770"/>
      <c r="E2" s="1770"/>
      <c r="F2" s="1770"/>
      <c r="G2" s="1770"/>
      <c r="H2" s="1771"/>
    </row>
    <row r="3" spans="2:9">
      <c r="B3" s="1809" t="s">
        <v>4792</v>
      </c>
      <c r="C3" s="1810"/>
      <c r="D3" s="1810"/>
      <c r="E3" s="1810"/>
      <c r="F3" s="1810"/>
      <c r="G3" s="1810"/>
      <c r="H3" s="1811"/>
    </row>
    <row r="4" spans="2:9">
      <c r="B4" s="1809" t="s">
        <v>4809</v>
      </c>
      <c r="C4" s="1810"/>
      <c r="D4" s="1810"/>
      <c r="E4" s="1810"/>
      <c r="F4" s="1810"/>
      <c r="G4" s="1810"/>
      <c r="H4" s="1811"/>
    </row>
    <row r="5" spans="2:9" ht="12.75" thickBot="1">
      <c r="B5" s="1774"/>
      <c r="C5" s="1775"/>
      <c r="D5" s="1775"/>
      <c r="E5" s="1775"/>
      <c r="F5" s="1775"/>
      <c r="G5" s="1775"/>
      <c r="H5" s="1776"/>
    </row>
    <row r="6" spans="2:9" ht="12.75" thickBot="1">
      <c r="B6" s="1818" t="s">
        <v>230</v>
      </c>
      <c r="C6" s="1820" t="s">
        <v>75</v>
      </c>
      <c r="D6" s="1821"/>
      <c r="E6" s="1821"/>
      <c r="F6" s="1821"/>
      <c r="G6" s="1822"/>
      <c r="H6" s="1823" t="s">
        <v>4793</v>
      </c>
    </row>
    <row r="7" spans="2:9" ht="24.75" thickBot="1">
      <c r="B7" s="1831"/>
      <c r="C7" s="1062" t="s">
        <v>4794</v>
      </c>
      <c r="D7" s="1062" t="s">
        <v>4795</v>
      </c>
      <c r="E7" s="1062" t="s">
        <v>4796</v>
      </c>
      <c r="F7" s="1062" t="s">
        <v>236</v>
      </c>
      <c r="G7" s="1062" t="s">
        <v>4797</v>
      </c>
      <c r="H7" s="1824"/>
    </row>
    <row r="8" spans="2:9" ht="15.75" customHeight="1" thickBot="1">
      <c r="B8" s="1819"/>
      <c r="C8" s="1063">
        <v>1</v>
      </c>
      <c r="D8" s="1063">
        <v>2</v>
      </c>
      <c r="E8" s="1063" t="s">
        <v>4798</v>
      </c>
      <c r="F8" s="1063">
        <v>4</v>
      </c>
      <c r="G8" s="1063">
        <v>5</v>
      </c>
      <c r="H8" s="1064" t="s">
        <v>4799</v>
      </c>
    </row>
    <row r="9" spans="2:9" ht="24" customHeight="1">
      <c r="B9" s="1102" t="s">
        <v>4810</v>
      </c>
      <c r="C9" s="1103">
        <f>SUM(C10:C16)</f>
        <v>19299621.387999997</v>
      </c>
      <c r="D9" s="1103">
        <f>SUM(D10:D16)</f>
        <v>0</v>
      </c>
      <c r="E9" s="1103">
        <f t="shared" ref="E9:E26" si="0">C9+D9</f>
        <v>19299621.387999997</v>
      </c>
      <c r="F9" s="1103">
        <f>SUM(F10:F16)</f>
        <v>15074778.560000001</v>
      </c>
      <c r="G9" s="1103">
        <f>SUM(G10:G16)</f>
        <v>15074778.560000001</v>
      </c>
      <c r="H9" s="1103">
        <f t="shared" ref="H9:H72" si="1">E9-F9</f>
        <v>4224842.827999996</v>
      </c>
    </row>
    <row r="10" spans="2:9" ht="12" customHeight="1">
      <c r="B10" s="1104" t="s">
        <v>829</v>
      </c>
      <c r="C10" s="1105">
        <f>+COG!D11</f>
        <v>12896881.199999997</v>
      </c>
      <c r="D10" s="1105">
        <f>+COG!E11</f>
        <v>0</v>
      </c>
      <c r="E10" s="1107">
        <f t="shared" si="0"/>
        <v>12896881.199999997</v>
      </c>
      <c r="F10" s="1105">
        <f>+COG!G11</f>
        <v>10187364.18</v>
      </c>
      <c r="G10" s="1105">
        <f>+COG!H11</f>
        <v>10187364.18</v>
      </c>
      <c r="H10" s="1108">
        <f t="shared" si="1"/>
        <v>2709517.0199999977</v>
      </c>
    </row>
    <row r="11" spans="2:9" ht="12" customHeight="1">
      <c r="B11" s="1104" t="s">
        <v>4811</v>
      </c>
      <c r="C11" s="1105">
        <v>0</v>
      </c>
      <c r="D11" s="1105">
        <v>0</v>
      </c>
      <c r="E11" s="1107">
        <f t="shared" si="0"/>
        <v>0</v>
      </c>
      <c r="F11" s="1105">
        <v>0</v>
      </c>
      <c r="G11" s="1105">
        <v>0</v>
      </c>
      <c r="H11" s="1108">
        <f t="shared" si="1"/>
        <v>0</v>
      </c>
    </row>
    <row r="12" spans="2:9" ht="12" customHeight="1">
      <c r="B12" s="1104" t="s">
        <v>830</v>
      </c>
      <c r="C12" s="1105">
        <f>+COG!D12</f>
        <v>2102233.952</v>
      </c>
      <c r="D12" s="1105">
        <f>+COG!E12</f>
        <v>0</v>
      </c>
      <c r="E12" s="1107">
        <f t="shared" si="0"/>
        <v>2102233.952</v>
      </c>
      <c r="F12" s="1105">
        <f>+COG!G12</f>
        <v>1601521.51</v>
      </c>
      <c r="G12" s="1105">
        <f>+COG!H12</f>
        <v>1601521.51</v>
      </c>
      <c r="H12" s="1108">
        <f t="shared" si="1"/>
        <v>500712.44200000004</v>
      </c>
    </row>
    <row r="13" spans="2:9" ht="12" customHeight="1">
      <c r="B13" s="1104" t="s">
        <v>831</v>
      </c>
      <c r="C13" s="1105">
        <f>+COG!D13</f>
        <v>2553469.804</v>
      </c>
      <c r="D13" s="1105">
        <f>+COG!E13</f>
        <v>0</v>
      </c>
      <c r="E13" s="1107">
        <f>C13+D13</f>
        <v>2553469.804</v>
      </c>
      <c r="F13" s="1105">
        <f>+COG!G13</f>
        <v>1780713.3099999998</v>
      </c>
      <c r="G13" s="1105">
        <f>+COG!H13</f>
        <v>1780713.3099999998</v>
      </c>
      <c r="H13" s="1108">
        <f t="shared" si="1"/>
        <v>772756.49400000018</v>
      </c>
    </row>
    <row r="14" spans="2:9" ht="12" customHeight="1">
      <c r="B14" s="1104" t="s">
        <v>832</v>
      </c>
      <c r="C14" s="1105">
        <f>+COG!D14</f>
        <v>1747036.4319999996</v>
      </c>
      <c r="D14" s="1105">
        <f>+COG!E14</f>
        <v>0</v>
      </c>
      <c r="E14" s="1107">
        <f t="shared" si="0"/>
        <v>1747036.4319999996</v>
      </c>
      <c r="F14" s="1105">
        <f>+COG!G14</f>
        <v>1505179.56</v>
      </c>
      <c r="G14" s="1105">
        <f>+COG!H14</f>
        <v>1505179.56</v>
      </c>
      <c r="H14" s="1108">
        <f t="shared" si="1"/>
        <v>241856.87199999951</v>
      </c>
    </row>
    <row r="15" spans="2:9" ht="12" customHeight="1">
      <c r="B15" s="1104" t="s">
        <v>4812</v>
      </c>
      <c r="C15" s="1105">
        <v>0</v>
      </c>
      <c r="D15" s="1105">
        <v>0</v>
      </c>
      <c r="E15" s="1107">
        <f t="shared" si="0"/>
        <v>0</v>
      </c>
      <c r="F15" s="1105">
        <v>0</v>
      </c>
      <c r="G15" s="1105">
        <v>0</v>
      </c>
      <c r="H15" s="1108">
        <f t="shared" si="1"/>
        <v>0</v>
      </c>
    </row>
    <row r="16" spans="2:9" ht="12" customHeight="1">
      <c r="B16" s="1104" t="s">
        <v>4813</v>
      </c>
      <c r="C16" s="1105">
        <v>0</v>
      </c>
      <c r="D16" s="1105">
        <v>0</v>
      </c>
      <c r="E16" s="1107">
        <f t="shared" si="0"/>
        <v>0</v>
      </c>
      <c r="F16" s="1105">
        <v>0</v>
      </c>
      <c r="G16" s="1105">
        <v>0</v>
      </c>
      <c r="H16" s="1108">
        <f t="shared" si="1"/>
        <v>0</v>
      </c>
    </row>
    <row r="17" spans="2:8" ht="24" customHeight="1">
      <c r="B17" s="1102" t="s">
        <v>167</v>
      </c>
      <c r="C17" s="1103">
        <f>SUM(C18:C26)</f>
        <v>2153010.4640000006</v>
      </c>
      <c r="D17" s="1103">
        <f>SUM(D18:D26)</f>
        <v>0</v>
      </c>
      <c r="E17" s="1103">
        <f t="shared" si="0"/>
        <v>2153010.4640000006</v>
      </c>
      <c r="F17" s="1103">
        <f>SUM(F18:F26)</f>
        <v>862793.71</v>
      </c>
      <c r="G17" s="1103">
        <f>SUM(G18:G26)</f>
        <v>862793.71</v>
      </c>
      <c r="H17" s="1103">
        <f t="shared" si="1"/>
        <v>1290216.7540000007</v>
      </c>
    </row>
    <row r="18" spans="2:8" ht="24">
      <c r="B18" s="1109" t="s">
        <v>833</v>
      </c>
      <c r="C18" s="1105">
        <f>+COG!D16</f>
        <v>544100</v>
      </c>
      <c r="D18" s="1105">
        <f>+COG!E16</f>
        <v>0</v>
      </c>
      <c r="E18" s="1107">
        <f t="shared" si="0"/>
        <v>544100</v>
      </c>
      <c r="F18" s="1105">
        <f>+COG!G16</f>
        <v>239011.44</v>
      </c>
      <c r="G18" s="1105">
        <f>+COG!H16</f>
        <v>239011.44</v>
      </c>
      <c r="H18" s="1108">
        <f t="shared" si="1"/>
        <v>305088.56</v>
      </c>
    </row>
    <row r="19" spans="2:8" ht="12" customHeight="1">
      <c r="B19" s="1109" t="s">
        <v>834</v>
      </c>
      <c r="C19" s="1105">
        <f>+COG!D17</f>
        <v>49999.999999999993</v>
      </c>
      <c r="D19" s="1105">
        <f>+COG!E17</f>
        <v>0</v>
      </c>
      <c r="E19" s="1107">
        <f t="shared" si="0"/>
        <v>49999.999999999993</v>
      </c>
      <c r="F19" s="1105">
        <f>+COG!G17</f>
        <v>48403.05</v>
      </c>
      <c r="G19" s="1105">
        <f>+COG!H17</f>
        <v>48403.05</v>
      </c>
      <c r="H19" s="1108">
        <f t="shared" si="1"/>
        <v>1596.9499999999898</v>
      </c>
    </row>
    <row r="20" spans="2:8" ht="12" customHeight="1">
      <c r="B20" s="1109" t="s">
        <v>4814</v>
      </c>
      <c r="C20" s="1105">
        <v>0</v>
      </c>
      <c r="D20" s="1105">
        <v>0</v>
      </c>
      <c r="E20" s="1107">
        <f t="shared" si="0"/>
        <v>0</v>
      </c>
      <c r="F20" s="1105">
        <v>0</v>
      </c>
      <c r="G20" s="1105">
        <v>0</v>
      </c>
      <c r="H20" s="1108">
        <f t="shared" si="1"/>
        <v>0</v>
      </c>
    </row>
    <row r="21" spans="2:8" ht="12" customHeight="1">
      <c r="B21" s="1109" t="s">
        <v>4815</v>
      </c>
      <c r="C21" s="1105">
        <v>0</v>
      </c>
      <c r="D21" s="1105">
        <v>0</v>
      </c>
      <c r="E21" s="1107">
        <f t="shared" si="0"/>
        <v>0</v>
      </c>
      <c r="F21" s="1105">
        <v>0</v>
      </c>
      <c r="G21" s="1105">
        <v>0</v>
      </c>
      <c r="H21" s="1108">
        <f t="shared" si="1"/>
        <v>0</v>
      </c>
    </row>
    <row r="22" spans="2:8" ht="12" customHeight="1">
      <c r="B22" s="1109" t="s">
        <v>835</v>
      </c>
      <c r="C22" s="1105">
        <f>+COG!D18</f>
        <v>2000</v>
      </c>
      <c r="D22" s="1105">
        <f>+COG!E18</f>
        <v>0</v>
      </c>
      <c r="E22" s="1107">
        <f t="shared" si="0"/>
        <v>2000</v>
      </c>
      <c r="F22" s="1105">
        <f>+COG!G18</f>
        <v>833.18</v>
      </c>
      <c r="G22" s="1105">
        <f>+COG!H18</f>
        <v>833.18</v>
      </c>
      <c r="H22" s="1108">
        <f t="shared" si="1"/>
        <v>1166.8200000000002</v>
      </c>
    </row>
    <row r="23" spans="2:8" ht="12" customHeight="1">
      <c r="B23" s="1109" t="s">
        <v>836</v>
      </c>
      <c r="C23" s="1105">
        <f>+COG!D19</f>
        <v>1556910.4640000004</v>
      </c>
      <c r="D23" s="1105">
        <f>+COG!E19</f>
        <v>0</v>
      </c>
      <c r="E23" s="1107">
        <f t="shared" si="0"/>
        <v>1556910.4640000004</v>
      </c>
      <c r="F23" s="1105">
        <f>+COG!G19</f>
        <v>574546.04</v>
      </c>
      <c r="G23" s="1105">
        <f>+COG!H19</f>
        <v>574546.04</v>
      </c>
      <c r="H23" s="1108">
        <f t="shared" si="1"/>
        <v>982364.42400000035</v>
      </c>
    </row>
    <row r="24" spans="2:8" ht="12" customHeight="1">
      <c r="B24" s="1109" t="s">
        <v>4816</v>
      </c>
      <c r="C24" s="1105">
        <v>0</v>
      </c>
      <c r="D24" s="1105">
        <v>0</v>
      </c>
      <c r="E24" s="1107">
        <f t="shared" si="0"/>
        <v>0</v>
      </c>
      <c r="F24" s="1105">
        <v>0</v>
      </c>
      <c r="G24" s="1105">
        <v>0</v>
      </c>
      <c r="H24" s="1108">
        <f t="shared" si="1"/>
        <v>0</v>
      </c>
    </row>
    <row r="25" spans="2:8" ht="12" customHeight="1">
      <c r="B25" s="1109" t="s">
        <v>4817</v>
      </c>
      <c r="C25" s="1105">
        <v>0</v>
      </c>
      <c r="D25" s="1105">
        <v>0</v>
      </c>
      <c r="E25" s="1107">
        <f t="shared" si="0"/>
        <v>0</v>
      </c>
      <c r="F25" s="1105">
        <v>0</v>
      </c>
      <c r="G25" s="1105">
        <v>0</v>
      </c>
      <c r="H25" s="1108">
        <f t="shared" si="1"/>
        <v>0</v>
      </c>
    </row>
    <row r="26" spans="2:8" ht="12" customHeight="1">
      <c r="B26" s="1109" t="s">
        <v>4818</v>
      </c>
      <c r="C26" s="1105">
        <v>0</v>
      </c>
      <c r="D26" s="1105">
        <v>0</v>
      </c>
      <c r="E26" s="1107">
        <f t="shared" si="0"/>
        <v>0</v>
      </c>
      <c r="F26" s="1105">
        <v>0</v>
      </c>
      <c r="G26" s="1105">
        <v>0</v>
      </c>
      <c r="H26" s="1108">
        <f t="shared" si="1"/>
        <v>0</v>
      </c>
    </row>
    <row r="27" spans="2:8" ht="20.100000000000001" customHeight="1">
      <c r="B27" s="1102" t="s">
        <v>168</v>
      </c>
      <c r="C27" s="1103">
        <f>SUM(C28:C36)</f>
        <v>115790657.28028001</v>
      </c>
      <c r="D27" s="1103">
        <f>SUM(D28:D36)</f>
        <v>2683490</v>
      </c>
      <c r="E27" s="1103">
        <f>D27+C27</f>
        <v>118474147.28028001</v>
      </c>
      <c r="F27" s="1103">
        <f>SUM(F28:F36)</f>
        <v>35452187.299999997</v>
      </c>
      <c r="G27" s="1103">
        <f>SUM(G28:G36)</f>
        <v>35452187.299999997</v>
      </c>
      <c r="H27" s="1103">
        <f t="shared" si="1"/>
        <v>83021959.980280012</v>
      </c>
    </row>
    <row r="28" spans="2:8">
      <c r="B28" s="1109" t="s">
        <v>837</v>
      </c>
      <c r="C28" s="1105">
        <f>+COG!D21</f>
        <v>70325665.868799999</v>
      </c>
      <c r="D28" s="1105">
        <f>+COG!E21</f>
        <v>835000</v>
      </c>
      <c r="E28" s="1107">
        <f t="shared" ref="E28:E36" si="2">C28+D28</f>
        <v>71160665.868799999</v>
      </c>
      <c r="F28" s="1105">
        <f>+COG!G21</f>
        <v>12560817.130000001</v>
      </c>
      <c r="G28" s="1105">
        <f>+COG!H21</f>
        <v>12560817.130000001</v>
      </c>
      <c r="H28" s="1108">
        <f t="shared" si="1"/>
        <v>58599848.738799997</v>
      </c>
    </row>
    <row r="29" spans="2:8">
      <c r="B29" s="1109" t="s">
        <v>838</v>
      </c>
      <c r="C29" s="1105">
        <f>+COG!D22</f>
        <v>39600</v>
      </c>
      <c r="D29" s="1105">
        <f>+COG!E22</f>
        <v>0</v>
      </c>
      <c r="E29" s="1107">
        <f t="shared" si="2"/>
        <v>39600</v>
      </c>
      <c r="F29" s="1105">
        <f>+COG!G22</f>
        <v>36150</v>
      </c>
      <c r="G29" s="1105">
        <f>+COG!H22</f>
        <v>36150</v>
      </c>
      <c r="H29" s="1108">
        <f t="shared" si="1"/>
        <v>3450</v>
      </c>
    </row>
    <row r="30" spans="2:8" ht="12" customHeight="1">
      <c r="B30" s="1109" t="s">
        <v>839</v>
      </c>
      <c r="C30" s="1105">
        <f>+COG!D23</f>
        <v>14500600</v>
      </c>
      <c r="D30" s="1105">
        <f>+COG!E23</f>
        <v>995490</v>
      </c>
      <c r="E30" s="1107">
        <f t="shared" si="2"/>
        <v>15496090</v>
      </c>
      <c r="F30" s="1105">
        <f>+COG!G23</f>
        <v>9206568.4899999984</v>
      </c>
      <c r="G30" s="1105">
        <f>+COG!H23</f>
        <v>9206568.4899999984</v>
      </c>
      <c r="H30" s="1108">
        <f t="shared" si="1"/>
        <v>6289521.5100000016</v>
      </c>
    </row>
    <row r="31" spans="2:8">
      <c r="B31" s="1109" t="s">
        <v>840</v>
      </c>
      <c r="C31" s="1105">
        <f>+COG!D24</f>
        <v>570388.0896399999</v>
      </c>
      <c r="D31" s="1105">
        <f>+COG!E24</f>
        <v>78000</v>
      </c>
      <c r="E31" s="1107">
        <f t="shared" si="2"/>
        <v>648388.0896399999</v>
      </c>
      <c r="F31" s="1105">
        <f>+COG!G24</f>
        <v>386838.92</v>
      </c>
      <c r="G31" s="1105">
        <f>+COG!H24</f>
        <v>386838.92</v>
      </c>
      <c r="H31" s="1108">
        <f t="shared" si="1"/>
        <v>261549.16963999992</v>
      </c>
    </row>
    <row r="32" spans="2:8" ht="24">
      <c r="B32" s="1109" t="s">
        <v>841</v>
      </c>
      <c r="C32" s="1105">
        <f>+COG!D25</f>
        <v>19517941.469999999</v>
      </c>
      <c r="D32" s="1105">
        <f>+COG!E25</f>
        <v>775000</v>
      </c>
      <c r="E32" s="1107">
        <f t="shared" si="2"/>
        <v>20292941.469999999</v>
      </c>
      <c r="F32" s="1105">
        <f>+COG!G25</f>
        <v>9053529.9499999993</v>
      </c>
      <c r="G32" s="1105">
        <f>+COG!H25</f>
        <v>9053529.9499999993</v>
      </c>
      <c r="H32" s="1108">
        <f t="shared" si="1"/>
        <v>11239411.52</v>
      </c>
    </row>
    <row r="33" spans="2:8">
      <c r="B33" s="1109" t="s">
        <v>4819</v>
      </c>
      <c r="C33" s="1105">
        <v>0</v>
      </c>
      <c r="D33" s="1105">
        <v>0</v>
      </c>
      <c r="E33" s="1107">
        <f t="shared" si="2"/>
        <v>0</v>
      </c>
      <c r="F33" s="1105">
        <v>0</v>
      </c>
      <c r="G33" s="1105">
        <v>0</v>
      </c>
      <c r="H33" s="1108">
        <f t="shared" si="1"/>
        <v>0</v>
      </c>
    </row>
    <row r="34" spans="2:8">
      <c r="B34" s="1109" t="s">
        <v>4820</v>
      </c>
      <c r="C34" s="1105">
        <f>+COG!D26</f>
        <v>2128000</v>
      </c>
      <c r="D34" s="1105">
        <f>+COG!E26</f>
        <v>0</v>
      </c>
      <c r="E34" s="1107">
        <f t="shared" si="2"/>
        <v>2128000</v>
      </c>
      <c r="F34" s="1105">
        <f>+COG!G26</f>
        <v>150779.51</v>
      </c>
      <c r="G34" s="1105">
        <f>+COG!H26</f>
        <v>150779.51</v>
      </c>
      <c r="H34" s="1108">
        <f t="shared" si="1"/>
        <v>1977220.49</v>
      </c>
    </row>
    <row r="35" spans="2:8">
      <c r="B35" s="1109" t="s">
        <v>843</v>
      </c>
      <c r="C35" s="1105">
        <f>+COG!D27</f>
        <v>2409000</v>
      </c>
      <c r="D35" s="1105">
        <f>+COG!E27</f>
        <v>0</v>
      </c>
      <c r="E35" s="1107">
        <f t="shared" si="2"/>
        <v>2409000</v>
      </c>
      <c r="F35" s="1105">
        <f>+COG!G27</f>
        <v>672533.02</v>
      </c>
      <c r="G35" s="1105">
        <f>+COG!H27</f>
        <v>672533.02</v>
      </c>
      <c r="H35" s="1108">
        <f t="shared" si="1"/>
        <v>1736466.98</v>
      </c>
    </row>
    <row r="36" spans="2:8">
      <c r="B36" s="1109" t="s">
        <v>137</v>
      </c>
      <c r="C36" s="1105">
        <f>+COG!D28</f>
        <v>6299461.8518399987</v>
      </c>
      <c r="D36" s="1105">
        <f>+COG!E28</f>
        <v>0</v>
      </c>
      <c r="E36" s="1107">
        <f t="shared" si="2"/>
        <v>6299461.8518399987</v>
      </c>
      <c r="F36" s="1105">
        <f>+COG!G28</f>
        <v>3384970.28</v>
      </c>
      <c r="G36" s="1105">
        <f>+COG!H28</f>
        <v>3384970.28</v>
      </c>
      <c r="H36" s="1108">
        <f t="shared" si="1"/>
        <v>2914491.5718399989</v>
      </c>
    </row>
    <row r="37" spans="2:8" ht="20.100000000000001" customHeight="1">
      <c r="B37" s="1110" t="s">
        <v>4821</v>
      </c>
      <c r="C37" s="1103">
        <f>SUM(C38:C46)</f>
        <v>1016994.2842170001</v>
      </c>
      <c r="D37" s="1103">
        <f>SUM(D38:D46)</f>
        <v>0</v>
      </c>
      <c r="E37" s="1103">
        <f>C37+D37</f>
        <v>1016994.2842170001</v>
      </c>
      <c r="F37" s="1103">
        <f>SUM(F38:F46)</f>
        <v>794214.88000000012</v>
      </c>
      <c r="G37" s="1103">
        <f>SUM(G38:G46)</f>
        <v>794214.88000000012</v>
      </c>
      <c r="H37" s="1103">
        <f t="shared" si="1"/>
        <v>222779.404217</v>
      </c>
    </row>
    <row r="38" spans="2:8" ht="12" customHeight="1">
      <c r="B38" s="1109" t="s">
        <v>623</v>
      </c>
      <c r="C38" s="1105">
        <f>+COG!D30</f>
        <v>240000</v>
      </c>
      <c r="D38" s="1106">
        <v>0</v>
      </c>
      <c r="E38" s="1107">
        <f t="shared" ref="E38:E79" si="3">C38+D38</f>
        <v>240000</v>
      </c>
      <c r="F38" s="1105">
        <f>+COG!G30</f>
        <v>149551.82</v>
      </c>
      <c r="G38" s="1105">
        <f>+COG!H30</f>
        <v>149551.82</v>
      </c>
      <c r="H38" s="1108">
        <f t="shared" si="1"/>
        <v>90448.18</v>
      </c>
    </row>
    <row r="39" spans="2:8" ht="12" customHeight="1">
      <c r="B39" s="1109" t="s">
        <v>625</v>
      </c>
      <c r="C39" s="1105">
        <v>0</v>
      </c>
      <c r="D39" s="1106">
        <v>0</v>
      </c>
      <c r="E39" s="1107">
        <f t="shared" si="3"/>
        <v>0</v>
      </c>
      <c r="F39" s="1105">
        <v>0</v>
      </c>
      <c r="G39" s="1105">
        <v>0</v>
      </c>
      <c r="H39" s="1108">
        <f t="shared" si="1"/>
        <v>0</v>
      </c>
    </row>
    <row r="40" spans="2:8" ht="12" customHeight="1">
      <c r="B40" s="1109" t="s">
        <v>627</v>
      </c>
      <c r="C40" s="1105">
        <v>0</v>
      </c>
      <c r="D40" s="1106">
        <v>0</v>
      </c>
      <c r="E40" s="1107">
        <f t="shared" si="3"/>
        <v>0</v>
      </c>
      <c r="F40" s="1105">
        <v>0</v>
      </c>
      <c r="G40" s="1105">
        <v>0</v>
      </c>
      <c r="H40" s="1108">
        <f t="shared" si="1"/>
        <v>0</v>
      </c>
    </row>
    <row r="41" spans="2:8" ht="12" customHeight="1">
      <c r="B41" s="1109" t="s">
        <v>628</v>
      </c>
      <c r="C41" s="1105">
        <v>0</v>
      </c>
      <c r="D41" s="1106">
        <v>0</v>
      </c>
      <c r="E41" s="1107">
        <f t="shared" si="3"/>
        <v>0</v>
      </c>
      <c r="F41" s="1105">
        <v>0</v>
      </c>
      <c r="G41" s="1105">
        <v>0</v>
      </c>
      <c r="H41" s="1108">
        <f t="shared" si="1"/>
        <v>0</v>
      </c>
    </row>
    <row r="42" spans="2:8" ht="12" customHeight="1">
      <c r="B42" s="1109" t="s">
        <v>630</v>
      </c>
      <c r="C42" s="1105">
        <f>+COG!D31</f>
        <v>776994.28421700012</v>
      </c>
      <c r="D42" s="1106">
        <v>0</v>
      </c>
      <c r="E42" s="1107">
        <f t="shared" si="3"/>
        <v>776994.28421700012</v>
      </c>
      <c r="F42" s="1105">
        <f>+COG!G31</f>
        <v>644663.06000000006</v>
      </c>
      <c r="G42" s="1105">
        <f>+COG!H31</f>
        <v>644663.06000000006</v>
      </c>
      <c r="H42" s="1108">
        <f t="shared" si="1"/>
        <v>132331.22421700007</v>
      </c>
    </row>
    <row r="43" spans="2:8" ht="12" customHeight="1">
      <c r="B43" s="1109" t="s">
        <v>4822</v>
      </c>
      <c r="C43" s="1105">
        <v>0</v>
      </c>
      <c r="D43" s="1106">
        <v>0</v>
      </c>
      <c r="E43" s="1107">
        <f t="shared" si="3"/>
        <v>0</v>
      </c>
      <c r="F43" s="1105">
        <v>0</v>
      </c>
      <c r="G43" s="1105">
        <v>0</v>
      </c>
      <c r="H43" s="1108">
        <f t="shared" si="1"/>
        <v>0</v>
      </c>
    </row>
    <row r="44" spans="2:8" ht="12" customHeight="1">
      <c r="B44" s="1109" t="s">
        <v>634</v>
      </c>
      <c r="C44" s="1105">
        <v>0</v>
      </c>
      <c r="D44" s="1106">
        <v>0</v>
      </c>
      <c r="E44" s="1107">
        <f t="shared" si="3"/>
        <v>0</v>
      </c>
      <c r="F44" s="1105">
        <v>0</v>
      </c>
      <c r="G44" s="1105">
        <v>0</v>
      </c>
      <c r="H44" s="1108">
        <f t="shared" si="1"/>
        <v>0</v>
      </c>
    </row>
    <row r="45" spans="2:8" ht="12" customHeight="1">
      <c r="B45" s="1109" t="s">
        <v>635</v>
      </c>
      <c r="C45" s="1105">
        <v>0</v>
      </c>
      <c r="D45" s="1106">
        <v>0</v>
      </c>
      <c r="E45" s="1107">
        <f t="shared" si="3"/>
        <v>0</v>
      </c>
      <c r="F45" s="1105">
        <v>0</v>
      </c>
      <c r="G45" s="1105">
        <v>0</v>
      </c>
      <c r="H45" s="1108">
        <f t="shared" si="1"/>
        <v>0</v>
      </c>
    </row>
    <row r="46" spans="2:8" ht="12" customHeight="1" thickBot="1">
      <c r="B46" s="1111" t="s">
        <v>637</v>
      </c>
      <c r="C46" s="1112">
        <v>0</v>
      </c>
      <c r="D46" s="1113">
        <v>0</v>
      </c>
      <c r="E46" s="1114">
        <f t="shared" si="3"/>
        <v>0</v>
      </c>
      <c r="F46" s="1112">
        <v>0</v>
      </c>
      <c r="G46" s="1112">
        <v>0</v>
      </c>
      <c r="H46" s="1115">
        <f t="shared" si="1"/>
        <v>0</v>
      </c>
    </row>
    <row r="47" spans="2:8" ht="20.100000000000001" customHeight="1">
      <c r="B47" s="1102" t="s">
        <v>4823</v>
      </c>
      <c r="C47" s="1103">
        <f>SUM(C48:C56)</f>
        <v>0</v>
      </c>
      <c r="D47" s="1103">
        <f>SUM(D48:D56)</f>
        <v>0</v>
      </c>
      <c r="E47" s="1103">
        <f t="shared" si="3"/>
        <v>0</v>
      </c>
      <c r="F47" s="1103">
        <f>SUM(F48:F56)</f>
        <v>0</v>
      </c>
      <c r="G47" s="1103">
        <f>SUM(G48:G56)</f>
        <v>0</v>
      </c>
      <c r="H47" s="1103">
        <f t="shared" si="1"/>
        <v>0</v>
      </c>
    </row>
    <row r="48" spans="2:8">
      <c r="B48" s="1109" t="s">
        <v>4824</v>
      </c>
      <c r="C48" s="1105">
        <v>0</v>
      </c>
      <c r="D48" s="1106">
        <v>0</v>
      </c>
      <c r="E48" s="1107">
        <f t="shared" si="3"/>
        <v>0</v>
      </c>
      <c r="F48" s="1105">
        <v>0</v>
      </c>
      <c r="G48" s="1105">
        <v>0</v>
      </c>
      <c r="H48" s="1108">
        <f t="shared" si="1"/>
        <v>0</v>
      </c>
    </row>
    <row r="49" spans="2:8">
      <c r="B49" s="1109" t="s">
        <v>4825</v>
      </c>
      <c r="C49" s="1105">
        <v>0</v>
      </c>
      <c r="D49" s="1106">
        <v>0</v>
      </c>
      <c r="E49" s="1107">
        <f t="shared" si="3"/>
        <v>0</v>
      </c>
      <c r="F49" s="1105">
        <v>0</v>
      </c>
      <c r="G49" s="1105">
        <v>0</v>
      </c>
      <c r="H49" s="1108">
        <f t="shared" si="1"/>
        <v>0</v>
      </c>
    </row>
    <row r="50" spans="2:8">
      <c r="B50" s="1109" t="s">
        <v>4826</v>
      </c>
      <c r="C50" s="1105">
        <v>0</v>
      </c>
      <c r="D50" s="1106">
        <v>0</v>
      </c>
      <c r="E50" s="1107">
        <f t="shared" si="3"/>
        <v>0</v>
      </c>
      <c r="F50" s="1105">
        <v>0</v>
      </c>
      <c r="G50" s="1105">
        <v>0</v>
      </c>
      <c r="H50" s="1108">
        <f t="shared" si="1"/>
        <v>0</v>
      </c>
    </row>
    <row r="51" spans="2:8">
      <c r="B51" s="1109" t="s">
        <v>4827</v>
      </c>
      <c r="C51" s="1105">
        <v>0</v>
      </c>
      <c r="D51" s="1106">
        <v>0</v>
      </c>
      <c r="E51" s="1107">
        <f t="shared" si="3"/>
        <v>0</v>
      </c>
      <c r="F51" s="1105">
        <v>0</v>
      </c>
      <c r="G51" s="1105">
        <v>0</v>
      </c>
      <c r="H51" s="1108">
        <f t="shared" si="1"/>
        <v>0</v>
      </c>
    </row>
    <row r="52" spans="2:8">
      <c r="B52" s="1109" t="s">
        <v>4828</v>
      </c>
      <c r="C52" s="1105">
        <v>0</v>
      </c>
      <c r="D52" s="1106">
        <v>0</v>
      </c>
      <c r="E52" s="1107">
        <f t="shared" si="3"/>
        <v>0</v>
      </c>
      <c r="F52" s="1105">
        <v>0</v>
      </c>
      <c r="G52" s="1105">
        <v>0</v>
      </c>
      <c r="H52" s="1108">
        <f t="shared" si="1"/>
        <v>0</v>
      </c>
    </row>
    <row r="53" spans="2:8">
      <c r="B53" s="1109" t="s">
        <v>4829</v>
      </c>
      <c r="C53" s="1105">
        <v>0</v>
      </c>
      <c r="D53" s="1106">
        <v>0</v>
      </c>
      <c r="E53" s="1107">
        <f t="shared" si="3"/>
        <v>0</v>
      </c>
      <c r="F53" s="1105">
        <v>0</v>
      </c>
      <c r="G53" s="1105">
        <v>0</v>
      </c>
      <c r="H53" s="1108">
        <f t="shared" si="1"/>
        <v>0</v>
      </c>
    </row>
    <row r="54" spans="2:8">
      <c r="B54" s="1109" t="s">
        <v>4830</v>
      </c>
      <c r="C54" s="1105">
        <v>0</v>
      </c>
      <c r="D54" s="1106">
        <v>0</v>
      </c>
      <c r="E54" s="1107">
        <f t="shared" si="3"/>
        <v>0</v>
      </c>
      <c r="F54" s="1105">
        <v>0</v>
      </c>
      <c r="G54" s="1105">
        <v>0</v>
      </c>
      <c r="H54" s="1108">
        <f t="shared" si="1"/>
        <v>0</v>
      </c>
    </row>
    <row r="55" spans="2:8">
      <c r="B55" s="1109" t="s">
        <v>4831</v>
      </c>
      <c r="C55" s="1105">
        <v>0</v>
      </c>
      <c r="D55" s="1106">
        <v>0</v>
      </c>
      <c r="E55" s="1107">
        <f t="shared" si="3"/>
        <v>0</v>
      </c>
      <c r="F55" s="1105">
        <v>0</v>
      </c>
      <c r="G55" s="1105">
        <v>0</v>
      </c>
      <c r="H55" s="1108">
        <f t="shared" si="1"/>
        <v>0</v>
      </c>
    </row>
    <row r="56" spans="2:8">
      <c r="B56" s="1109" t="s">
        <v>698</v>
      </c>
      <c r="C56" s="1105">
        <v>0</v>
      </c>
      <c r="D56" s="1106">
        <v>0</v>
      </c>
      <c r="E56" s="1107">
        <f t="shared" si="3"/>
        <v>0</v>
      </c>
      <c r="F56" s="1105">
        <v>0</v>
      </c>
      <c r="G56" s="1105">
        <v>0</v>
      </c>
      <c r="H56" s="1108">
        <f t="shared" si="1"/>
        <v>0</v>
      </c>
    </row>
    <row r="57" spans="2:8" ht="20.100000000000001" customHeight="1">
      <c r="B57" s="1102" t="s">
        <v>4832</v>
      </c>
      <c r="C57" s="1103">
        <f>SUM(C58:C60)</f>
        <v>0</v>
      </c>
      <c r="D57" s="1103">
        <f>SUM(D58:D60)</f>
        <v>0</v>
      </c>
      <c r="E57" s="1103">
        <f t="shared" si="3"/>
        <v>0</v>
      </c>
      <c r="F57" s="1103">
        <f>SUM(F58:F60)</f>
        <v>0</v>
      </c>
      <c r="G57" s="1103">
        <f>SUM(G58:G60)</f>
        <v>0</v>
      </c>
      <c r="H57" s="1103">
        <f t="shared" si="1"/>
        <v>0</v>
      </c>
    </row>
    <row r="58" spans="2:8">
      <c r="B58" s="1109" t="s">
        <v>4833</v>
      </c>
      <c r="C58" s="1105">
        <v>0</v>
      </c>
      <c r="D58" s="1106">
        <v>0</v>
      </c>
      <c r="E58" s="1107">
        <f t="shared" si="3"/>
        <v>0</v>
      </c>
      <c r="F58" s="1105">
        <v>0</v>
      </c>
      <c r="G58" s="1105">
        <v>0</v>
      </c>
      <c r="H58" s="1108">
        <f t="shared" si="1"/>
        <v>0</v>
      </c>
    </row>
    <row r="59" spans="2:8">
      <c r="B59" s="1109" t="s">
        <v>4834</v>
      </c>
      <c r="C59" s="1105">
        <v>0</v>
      </c>
      <c r="D59" s="1106">
        <v>0</v>
      </c>
      <c r="E59" s="1107">
        <f t="shared" si="3"/>
        <v>0</v>
      </c>
      <c r="F59" s="1105">
        <v>0</v>
      </c>
      <c r="G59" s="1105">
        <v>0</v>
      </c>
      <c r="H59" s="1107">
        <f t="shared" si="1"/>
        <v>0</v>
      </c>
    </row>
    <row r="60" spans="2:8">
      <c r="B60" s="1109" t="s">
        <v>4835</v>
      </c>
      <c r="C60" s="1105">
        <v>0</v>
      </c>
      <c r="D60" s="1106">
        <v>0</v>
      </c>
      <c r="E60" s="1107">
        <f t="shared" si="3"/>
        <v>0</v>
      </c>
      <c r="F60" s="1105">
        <v>0</v>
      </c>
      <c r="G60" s="1105">
        <v>0</v>
      </c>
      <c r="H60" s="1107">
        <f t="shared" si="1"/>
        <v>0</v>
      </c>
    </row>
    <row r="61" spans="2:8" ht="20.100000000000001" customHeight="1">
      <c r="B61" s="1110" t="s">
        <v>4836</v>
      </c>
      <c r="C61" s="1103">
        <f>SUM(C62:C68)</f>
        <v>0</v>
      </c>
      <c r="D61" s="1116">
        <f>SUM(D62:D68)</f>
        <v>0</v>
      </c>
      <c r="E61" s="1116">
        <f t="shared" si="3"/>
        <v>0</v>
      </c>
      <c r="F61" s="1103">
        <f>SUM(F62:F68)</f>
        <v>0</v>
      </c>
      <c r="G61" s="1103">
        <f>SUM(G62:G68)</f>
        <v>0</v>
      </c>
      <c r="H61" s="1116">
        <f t="shared" si="1"/>
        <v>0</v>
      </c>
    </row>
    <row r="62" spans="2:8" ht="12" customHeight="1">
      <c r="B62" s="1109" t="s">
        <v>4837</v>
      </c>
      <c r="C62" s="1105">
        <v>0</v>
      </c>
      <c r="D62" s="1106">
        <v>0</v>
      </c>
      <c r="E62" s="1107">
        <f t="shared" si="3"/>
        <v>0</v>
      </c>
      <c r="F62" s="1105">
        <v>0</v>
      </c>
      <c r="G62" s="1105">
        <v>0</v>
      </c>
      <c r="H62" s="1107">
        <f t="shared" si="1"/>
        <v>0</v>
      </c>
    </row>
    <row r="63" spans="2:8" ht="12" customHeight="1">
      <c r="B63" s="1109" t="s">
        <v>4838</v>
      </c>
      <c r="C63" s="1105">
        <v>0</v>
      </c>
      <c r="D63" s="1106">
        <v>0</v>
      </c>
      <c r="E63" s="1107">
        <f t="shared" si="3"/>
        <v>0</v>
      </c>
      <c r="F63" s="1105">
        <v>0</v>
      </c>
      <c r="G63" s="1105">
        <v>0</v>
      </c>
      <c r="H63" s="1107">
        <f t="shared" si="1"/>
        <v>0</v>
      </c>
    </row>
    <row r="64" spans="2:8" ht="12" customHeight="1">
      <c r="B64" s="1109" t="s">
        <v>4839</v>
      </c>
      <c r="C64" s="1105">
        <v>0</v>
      </c>
      <c r="D64" s="1106">
        <v>0</v>
      </c>
      <c r="E64" s="1107">
        <f t="shared" si="3"/>
        <v>0</v>
      </c>
      <c r="F64" s="1105">
        <v>0</v>
      </c>
      <c r="G64" s="1105">
        <v>0</v>
      </c>
      <c r="H64" s="1107">
        <f t="shared" si="1"/>
        <v>0</v>
      </c>
    </row>
    <row r="65" spans="2:8" ht="12" customHeight="1">
      <c r="B65" s="1109" t="s">
        <v>4840</v>
      </c>
      <c r="C65" s="1105">
        <v>0</v>
      </c>
      <c r="D65" s="1106">
        <v>0</v>
      </c>
      <c r="E65" s="1107">
        <f t="shared" si="3"/>
        <v>0</v>
      </c>
      <c r="F65" s="1105">
        <v>0</v>
      </c>
      <c r="G65" s="1105">
        <v>0</v>
      </c>
      <c r="H65" s="1107">
        <f t="shared" si="1"/>
        <v>0</v>
      </c>
    </row>
    <row r="66" spans="2:8" ht="12" customHeight="1">
      <c r="B66" s="1109" t="s">
        <v>4841</v>
      </c>
      <c r="C66" s="1105">
        <v>0</v>
      </c>
      <c r="D66" s="1106">
        <v>0</v>
      </c>
      <c r="E66" s="1107">
        <f t="shared" si="3"/>
        <v>0</v>
      </c>
      <c r="F66" s="1105">
        <v>0</v>
      </c>
      <c r="G66" s="1105">
        <v>0</v>
      </c>
      <c r="H66" s="1107">
        <f t="shared" si="1"/>
        <v>0</v>
      </c>
    </row>
    <row r="67" spans="2:8" ht="12" customHeight="1">
      <c r="B67" s="1109" t="s">
        <v>4842</v>
      </c>
      <c r="C67" s="1105">
        <v>0</v>
      </c>
      <c r="D67" s="1106">
        <v>0</v>
      </c>
      <c r="E67" s="1107">
        <f t="shared" si="3"/>
        <v>0</v>
      </c>
      <c r="F67" s="1105">
        <v>0</v>
      </c>
      <c r="G67" s="1105">
        <v>0</v>
      </c>
      <c r="H67" s="1107">
        <f t="shared" si="1"/>
        <v>0</v>
      </c>
    </row>
    <row r="68" spans="2:8" ht="12" customHeight="1">
      <c r="B68" s="1109" t="s">
        <v>4843</v>
      </c>
      <c r="C68" s="1105">
        <v>0</v>
      </c>
      <c r="D68" s="1106">
        <v>0</v>
      </c>
      <c r="E68" s="1107">
        <f t="shared" si="3"/>
        <v>0</v>
      </c>
      <c r="F68" s="1105">
        <v>0</v>
      </c>
      <c r="G68" s="1105">
        <v>0</v>
      </c>
      <c r="H68" s="1107">
        <f t="shared" si="1"/>
        <v>0</v>
      </c>
    </row>
    <row r="69" spans="2:8" ht="20.100000000000001" customHeight="1">
      <c r="B69" s="1110" t="s">
        <v>4844</v>
      </c>
      <c r="C69" s="1103">
        <f>SUM(C70:C72)</f>
        <v>0</v>
      </c>
      <c r="D69" s="1116">
        <f>SUM(D70:D72)</f>
        <v>0</v>
      </c>
      <c r="E69" s="1116">
        <f t="shared" si="3"/>
        <v>0</v>
      </c>
      <c r="F69" s="1103">
        <f>SUM(F70:F72)</f>
        <v>0</v>
      </c>
      <c r="G69" s="1116">
        <f>SUM(G70:G72)</f>
        <v>0</v>
      </c>
      <c r="H69" s="1116">
        <f t="shared" si="1"/>
        <v>0</v>
      </c>
    </row>
    <row r="70" spans="2:8">
      <c r="B70" s="1104" t="s">
        <v>641</v>
      </c>
      <c r="C70" s="1105">
        <v>0</v>
      </c>
      <c r="D70" s="1106">
        <v>0</v>
      </c>
      <c r="E70" s="1107">
        <f t="shared" si="3"/>
        <v>0</v>
      </c>
      <c r="F70" s="1105">
        <v>0</v>
      </c>
      <c r="G70" s="1106">
        <v>0</v>
      </c>
      <c r="H70" s="1107">
        <f t="shared" si="1"/>
        <v>0</v>
      </c>
    </row>
    <row r="71" spans="2:8">
      <c r="B71" s="1104" t="s">
        <v>643</v>
      </c>
      <c r="C71" s="1105">
        <v>0</v>
      </c>
      <c r="D71" s="1106">
        <v>0</v>
      </c>
      <c r="E71" s="1107">
        <f t="shared" si="3"/>
        <v>0</v>
      </c>
      <c r="F71" s="1105">
        <v>0</v>
      </c>
      <c r="G71" s="1106">
        <v>0</v>
      </c>
      <c r="H71" s="1107">
        <f t="shared" si="1"/>
        <v>0</v>
      </c>
    </row>
    <row r="72" spans="2:8">
      <c r="B72" s="1104" t="s">
        <v>645</v>
      </c>
      <c r="C72" s="1105">
        <v>0</v>
      </c>
      <c r="D72" s="1106">
        <v>0</v>
      </c>
      <c r="E72" s="1107">
        <f t="shared" si="3"/>
        <v>0</v>
      </c>
      <c r="F72" s="1105">
        <v>0</v>
      </c>
      <c r="G72" s="1106">
        <v>0</v>
      </c>
      <c r="H72" s="1107">
        <f t="shared" si="1"/>
        <v>0</v>
      </c>
    </row>
    <row r="73" spans="2:8" ht="20.100000000000001" customHeight="1">
      <c r="B73" s="1102" t="s">
        <v>4845</v>
      </c>
      <c r="C73" s="1103">
        <f>SUM(C74:C80)</f>
        <v>0</v>
      </c>
      <c r="D73" s="1116">
        <f>SUM(D74:D80)</f>
        <v>0</v>
      </c>
      <c r="E73" s="1116">
        <f t="shared" si="3"/>
        <v>0</v>
      </c>
      <c r="F73" s="1103">
        <f>SUM(F74:F80)</f>
        <v>0</v>
      </c>
      <c r="G73" s="1116">
        <f>SUM(G74:G80)</f>
        <v>0</v>
      </c>
      <c r="H73" s="1116">
        <f t="shared" ref="H73:H81" si="4">E73-F73</f>
        <v>0</v>
      </c>
    </row>
    <row r="74" spans="2:8">
      <c r="B74" s="1109" t="s">
        <v>4846</v>
      </c>
      <c r="C74" s="1105">
        <v>0</v>
      </c>
      <c r="D74" s="1106">
        <v>0</v>
      </c>
      <c r="E74" s="1107">
        <f t="shared" si="3"/>
        <v>0</v>
      </c>
      <c r="F74" s="1105">
        <v>0</v>
      </c>
      <c r="G74" s="1106">
        <v>0</v>
      </c>
      <c r="H74" s="1107">
        <f t="shared" si="4"/>
        <v>0</v>
      </c>
    </row>
    <row r="75" spans="2:8">
      <c r="B75" s="1109" t="s">
        <v>648</v>
      </c>
      <c r="C75" s="1105">
        <v>0</v>
      </c>
      <c r="D75" s="1106">
        <v>0</v>
      </c>
      <c r="E75" s="1107">
        <f t="shared" si="3"/>
        <v>0</v>
      </c>
      <c r="F75" s="1105">
        <v>0</v>
      </c>
      <c r="G75" s="1106">
        <v>0</v>
      </c>
      <c r="H75" s="1107">
        <f t="shared" si="4"/>
        <v>0</v>
      </c>
    </row>
    <row r="76" spans="2:8">
      <c r="B76" s="1109" t="s">
        <v>649</v>
      </c>
      <c r="C76" s="1105">
        <v>0</v>
      </c>
      <c r="D76" s="1106">
        <v>0</v>
      </c>
      <c r="E76" s="1107">
        <f t="shared" si="3"/>
        <v>0</v>
      </c>
      <c r="F76" s="1105">
        <v>0</v>
      </c>
      <c r="G76" s="1106">
        <v>0</v>
      </c>
      <c r="H76" s="1107">
        <f t="shared" si="4"/>
        <v>0</v>
      </c>
    </row>
    <row r="77" spans="2:8">
      <c r="B77" s="1109" t="s">
        <v>650</v>
      </c>
      <c r="C77" s="1105">
        <v>0</v>
      </c>
      <c r="D77" s="1106">
        <v>0</v>
      </c>
      <c r="E77" s="1107">
        <f t="shared" si="3"/>
        <v>0</v>
      </c>
      <c r="F77" s="1105">
        <v>0</v>
      </c>
      <c r="G77" s="1106">
        <v>0</v>
      </c>
      <c r="H77" s="1107">
        <f t="shared" si="4"/>
        <v>0</v>
      </c>
    </row>
    <row r="78" spans="2:8">
      <c r="B78" s="1109" t="s">
        <v>651</v>
      </c>
      <c r="C78" s="1105">
        <v>0</v>
      </c>
      <c r="D78" s="1106">
        <v>0</v>
      </c>
      <c r="E78" s="1107">
        <f t="shared" si="3"/>
        <v>0</v>
      </c>
      <c r="F78" s="1105">
        <v>0</v>
      </c>
      <c r="G78" s="1106">
        <v>0</v>
      </c>
      <c r="H78" s="1107">
        <f t="shared" si="4"/>
        <v>0</v>
      </c>
    </row>
    <row r="79" spans="2:8">
      <c r="B79" s="1109" t="s">
        <v>652</v>
      </c>
      <c r="C79" s="1105">
        <v>0</v>
      </c>
      <c r="D79" s="1106">
        <v>0</v>
      </c>
      <c r="E79" s="1107">
        <f t="shared" si="3"/>
        <v>0</v>
      </c>
      <c r="F79" s="1105">
        <v>0</v>
      </c>
      <c r="G79" s="1106">
        <v>0</v>
      </c>
      <c r="H79" s="1107">
        <f t="shared" si="4"/>
        <v>0</v>
      </c>
    </row>
    <row r="80" spans="2:8" ht="12" customHeight="1" thickBot="1">
      <c r="B80" s="1111" t="s">
        <v>4847</v>
      </c>
      <c r="C80" s="1105">
        <v>0</v>
      </c>
      <c r="D80" s="1106">
        <v>0</v>
      </c>
      <c r="E80" s="1107">
        <v>0</v>
      </c>
      <c r="F80" s="1105">
        <v>0</v>
      </c>
      <c r="G80" s="1106">
        <v>0</v>
      </c>
      <c r="H80" s="1107">
        <f t="shared" si="4"/>
        <v>0</v>
      </c>
    </row>
    <row r="81" spans="2:8" ht="12.75" thickBot="1">
      <c r="B81" s="1117" t="s">
        <v>822</v>
      </c>
      <c r="C81" s="1118">
        <f>SUM(C73,C69,C61,C57,C47,C27,C37,C17,C9)</f>
        <v>138260283.41649699</v>
      </c>
      <c r="D81" s="1118">
        <f>SUM(D73,D69,D61,D57,D47,D37,D27,D17,D9)</f>
        <v>2683490</v>
      </c>
      <c r="E81" s="1118">
        <f>C81+D81</f>
        <v>140943773.41649699</v>
      </c>
      <c r="F81" s="1118">
        <f>SUM(F73,F69,F61,F57,F47,F37,F17,F27,F9)</f>
        <v>52183974.450000003</v>
      </c>
      <c r="G81" s="1118">
        <f>SUM(G73,G69,G61,G57,G47,G37,G27,G17,G9)</f>
        <v>52183974.450000003</v>
      </c>
      <c r="H81" s="1118">
        <f t="shared" si="4"/>
        <v>88759798.966496989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1DFB-5051-496D-A2BB-46F9993D7071}">
  <dimension ref="B1:R160"/>
  <sheetViews>
    <sheetView workbookViewId="0">
      <selection activeCell="D31" sqref="D31:D39"/>
    </sheetView>
  </sheetViews>
  <sheetFormatPr baseColWidth="10" defaultColWidth="11.42578125" defaultRowHeight="12"/>
  <cols>
    <col min="1" max="1" width="3.5703125" style="921" customWidth="1"/>
    <col min="2" max="2" width="43.140625" style="921" customWidth="1"/>
    <col min="3" max="3" width="14.42578125" style="921" bestFit="1" customWidth="1"/>
    <col min="4" max="4" width="13.5703125" style="921" customWidth="1"/>
    <col min="5" max="8" width="14.42578125" style="921" bestFit="1" customWidth="1"/>
    <col min="9" max="9" width="3.7109375" style="921" customWidth="1"/>
    <col min="10" max="16384" width="11.42578125" style="921"/>
  </cols>
  <sheetData>
    <row r="1" spans="2:9" ht="15" customHeight="1" thickBot="1">
      <c r="I1" s="1101" t="s">
        <v>4808</v>
      </c>
    </row>
    <row r="2" spans="2:9" ht="15" customHeight="1">
      <c r="B2" s="1806" t="s">
        <v>2987</v>
      </c>
      <c r="C2" s="1807"/>
      <c r="D2" s="1807"/>
      <c r="E2" s="1807"/>
      <c r="F2" s="1807"/>
      <c r="G2" s="1807"/>
      <c r="H2" s="1808"/>
    </row>
    <row r="3" spans="2:9">
      <c r="B3" s="1809" t="s">
        <v>5083</v>
      </c>
      <c r="C3" s="1810"/>
      <c r="D3" s="1810"/>
      <c r="E3" s="1810"/>
      <c r="F3" s="1810"/>
      <c r="G3" s="1810"/>
      <c r="H3" s="1811"/>
    </row>
    <row r="4" spans="2:9">
      <c r="B4" s="1809" t="s">
        <v>4809</v>
      </c>
      <c r="C4" s="1810"/>
      <c r="D4" s="1810"/>
      <c r="E4" s="1810"/>
      <c r="F4" s="1810"/>
      <c r="G4" s="1810"/>
      <c r="H4" s="1811"/>
    </row>
    <row r="5" spans="2:9">
      <c r="B5" s="1812"/>
      <c r="C5" s="1813"/>
      <c r="D5" s="1813"/>
      <c r="E5" s="1813"/>
      <c r="F5" s="1813"/>
      <c r="G5" s="1813"/>
      <c r="H5" s="1814"/>
    </row>
    <row r="6" spans="2:9" ht="15.75" customHeight="1" thickBot="1">
      <c r="B6" s="1815" t="s">
        <v>4865</v>
      </c>
      <c r="C6" s="1816"/>
      <c r="D6" s="1816"/>
      <c r="E6" s="1816"/>
      <c r="F6" s="1816"/>
      <c r="G6" s="1816"/>
      <c r="H6" s="1817"/>
    </row>
    <row r="7" spans="2:9" ht="24.75" customHeight="1" thickBot="1">
      <c r="B7" s="1818" t="s">
        <v>4866</v>
      </c>
      <c r="C7" s="1820" t="s">
        <v>75</v>
      </c>
      <c r="D7" s="1821"/>
      <c r="E7" s="1821"/>
      <c r="F7" s="1821"/>
      <c r="G7" s="1822"/>
      <c r="H7" s="1823" t="s">
        <v>5084</v>
      </c>
    </row>
    <row r="8" spans="2:9" ht="24.75" thickBot="1">
      <c r="B8" s="1819"/>
      <c r="C8" s="1062" t="s">
        <v>4980</v>
      </c>
      <c r="D8" s="1062" t="s">
        <v>4795</v>
      </c>
      <c r="E8" s="1062" t="s">
        <v>4796</v>
      </c>
      <c r="F8" s="1062" t="s">
        <v>236</v>
      </c>
      <c r="G8" s="1062" t="s">
        <v>4797</v>
      </c>
      <c r="H8" s="1824"/>
    </row>
    <row r="9" spans="2:9">
      <c r="B9" s="1266"/>
      <c r="C9" s="1123"/>
      <c r="D9" s="1123"/>
      <c r="E9" s="1123"/>
      <c r="F9" s="1123"/>
      <c r="G9" s="1123"/>
      <c r="H9" s="1267"/>
    </row>
    <row r="10" spans="2:9">
      <c r="B10" s="1268" t="s">
        <v>5085</v>
      </c>
      <c r="C10" s="1269">
        <f>SUM(C12,C20,C30,C40,C50,C60,C64,C73,C77)</f>
        <v>138260283.41649699</v>
      </c>
      <c r="D10" s="1270">
        <f>SUM(D12,D20,D30,D40,D50,D60,D64,D73,D77)</f>
        <v>2683490</v>
      </c>
      <c r="E10" s="1103">
        <f t="shared" ref="E10:H10" si="0">SUM(E12,E20,E30,E40,E50,E60,E64,E73,E77)</f>
        <v>140943773.41649699</v>
      </c>
      <c r="F10" s="1270">
        <f t="shared" si="0"/>
        <v>52183974.449999996</v>
      </c>
      <c r="G10" s="1270">
        <f t="shared" si="0"/>
        <v>52183974.449999996</v>
      </c>
      <c r="H10" s="1103">
        <f t="shared" si="0"/>
        <v>88759798.966497004</v>
      </c>
    </row>
    <row r="11" spans="2:9">
      <c r="B11" s="1268"/>
      <c r="C11" s="1269"/>
      <c r="D11" s="1270"/>
      <c r="E11" s="1103"/>
      <c r="F11" s="1270"/>
      <c r="G11" s="1270"/>
      <c r="H11" s="1103"/>
    </row>
    <row r="12" spans="2:9" s="1271" customFormat="1" ht="14.1" customHeight="1">
      <c r="B12" s="1268" t="s">
        <v>5086</v>
      </c>
      <c r="C12" s="1269">
        <f>SUM(C13:C19)</f>
        <v>19299621.387999997</v>
      </c>
      <c r="D12" s="1269">
        <f>SUM(D13:D19)</f>
        <v>0</v>
      </c>
      <c r="E12" s="1116">
        <f t="shared" ref="E12:H12" si="1">SUM(E13:E19)</f>
        <v>19299621.387999997</v>
      </c>
      <c r="F12" s="1269">
        <f t="shared" si="1"/>
        <v>15074778.560000001</v>
      </c>
      <c r="G12" s="1269">
        <f t="shared" si="1"/>
        <v>15074778.560000001</v>
      </c>
      <c r="H12" s="1116">
        <f t="shared" si="1"/>
        <v>4224842.827999997</v>
      </c>
    </row>
    <row r="13" spans="2:9" ht="24">
      <c r="B13" s="1234" t="s">
        <v>5087</v>
      </c>
      <c r="C13" s="1106">
        <f>+COG!D11</f>
        <v>12896881.199999997</v>
      </c>
      <c r="D13" s="1106">
        <f>+COG!E11</f>
        <v>0</v>
      </c>
      <c r="E13" s="1107">
        <f>SUM(C13:D13)</f>
        <v>12896881.199999997</v>
      </c>
      <c r="F13" s="1106">
        <f>+COG!G11</f>
        <v>10187364.18</v>
      </c>
      <c r="G13" s="1106">
        <f>+COG!H11</f>
        <v>10187364.18</v>
      </c>
      <c r="H13" s="1108">
        <f>SUM(E13-F13)</f>
        <v>2709517.0199999977</v>
      </c>
    </row>
    <row r="14" spans="2:9" ht="22.9" customHeight="1">
      <c r="B14" s="1234" t="s">
        <v>5088</v>
      </c>
      <c r="C14" s="1106">
        <v>0</v>
      </c>
      <c r="D14" s="1106">
        <v>0</v>
      </c>
      <c r="E14" s="1107">
        <f t="shared" ref="E14:E79" si="2">SUM(C14:D14)</f>
        <v>0</v>
      </c>
      <c r="F14" s="1106">
        <v>0</v>
      </c>
      <c r="G14" s="1106">
        <v>0</v>
      </c>
      <c r="H14" s="1108">
        <f t="shared" ref="H14:H79" si="3">SUM(E14-F14)</f>
        <v>0</v>
      </c>
    </row>
    <row r="15" spans="2:9">
      <c r="B15" s="1234" t="s">
        <v>5089</v>
      </c>
      <c r="C15" s="1106">
        <f>+COG!D12</f>
        <v>2102233.952</v>
      </c>
      <c r="D15" s="1106">
        <f>+COG!E12</f>
        <v>0</v>
      </c>
      <c r="E15" s="1107">
        <f t="shared" si="2"/>
        <v>2102233.952</v>
      </c>
      <c r="F15" s="1106">
        <f>+COG!G12</f>
        <v>1601521.51</v>
      </c>
      <c r="G15" s="1106">
        <f>+COG!H12</f>
        <v>1601521.51</v>
      </c>
      <c r="H15" s="1108">
        <f t="shared" si="3"/>
        <v>500712.44200000004</v>
      </c>
    </row>
    <row r="16" spans="2:9">
      <c r="B16" s="1234" t="s">
        <v>5090</v>
      </c>
      <c r="C16" s="1106">
        <f>+COG!D13</f>
        <v>2553469.804</v>
      </c>
      <c r="D16" s="1106">
        <f>+COG!E13</f>
        <v>0</v>
      </c>
      <c r="E16" s="1107">
        <f t="shared" si="2"/>
        <v>2553469.804</v>
      </c>
      <c r="F16" s="1106">
        <f>+COG!G13</f>
        <v>1780713.3099999998</v>
      </c>
      <c r="G16" s="1106">
        <f>+COG!H13</f>
        <v>1780713.3099999998</v>
      </c>
      <c r="H16" s="1108">
        <f t="shared" si="3"/>
        <v>772756.49400000018</v>
      </c>
    </row>
    <row r="17" spans="2:8">
      <c r="B17" s="1234" t="s">
        <v>5091</v>
      </c>
      <c r="C17" s="1106">
        <f>+COG!D14</f>
        <v>1747036.4319999996</v>
      </c>
      <c r="D17" s="1106">
        <f>+COG!E14</f>
        <v>0</v>
      </c>
      <c r="E17" s="1107">
        <f t="shared" si="2"/>
        <v>1747036.4319999996</v>
      </c>
      <c r="F17" s="1106">
        <f>+COG!G14</f>
        <v>1505179.56</v>
      </c>
      <c r="G17" s="1106">
        <f>+COG!H14</f>
        <v>1505179.56</v>
      </c>
      <c r="H17" s="1108">
        <f t="shared" si="3"/>
        <v>241856.87199999951</v>
      </c>
    </row>
    <row r="18" spans="2:8">
      <c r="B18" s="1234" t="s">
        <v>5092</v>
      </c>
      <c r="C18" s="1106">
        <v>0</v>
      </c>
      <c r="D18" s="1106">
        <v>0</v>
      </c>
      <c r="E18" s="1107">
        <f t="shared" si="2"/>
        <v>0</v>
      </c>
      <c r="F18" s="1105">
        <v>0</v>
      </c>
      <c r="G18" s="1105">
        <v>0</v>
      </c>
      <c r="H18" s="1108">
        <f t="shared" si="3"/>
        <v>0</v>
      </c>
    </row>
    <row r="19" spans="2:8">
      <c r="B19" s="1234" t="s">
        <v>5093</v>
      </c>
      <c r="C19" s="1106">
        <v>0</v>
      </c>
      <c r="D19" s="1106">
        <v>0</v>
      </c>
      <c r="E19" s="1107">
        <f t="shared" si="2"/>
        <v>0</v>
      </c>
      <c r="F19" s="1105">
        <v>0</v>
      </c>
      <c r="G19" s="1105">
        <v>0</v>
      </c>
      <c r="H19" s="1108">
        <f t="shared" si="3"/>
        <v>0</v>
      </c>
    </row>
    <row r="20" spans="2:8" s="1271" customFormat="1" ht="24">
      <c r="B20" s="1272" t="s">
        <v>5094</v>
      </c>
      <c r="C20" s="1269">
        <f>SUM(C21:C29)</f>
        <v>2153010.4640000006</v>
      </c>
      <c r="D20" s="1269">
        <f t="shared" ref="D20:H20" si="4">SUM(D21:D29)</f>
        <v>0</v>
      </c>
      <c r="E20" s="1116">
        <f t="shared" si="4"/>
        <v>2153010.4640000006</v>
      </c>
      <c r="F20" s="1269">
        <f t="shared" si="4"/>
        <v>862793.71</v>
      </c>
      <c r="G20" s="1269">
        <f t="shared" si="4"/>
        <v>862793.71</v>
      </c>
      <c r="H20" s="1116">
        <f t="shared" si="4"/>
        <v>1290216.7540000004</v>
      </c>
    </row>
    <row r="21" spans="2:8" ht="24">
      <c r="B21" s="1234" t="s">
        <v>5095</v>
      </c>
      <c r="C21" s="1106">
        <f>+COG!D16</f>
        <v>544100</v>
      </c>
      <c r="D21" s="1106">
        <f>+COG!E16</f>
        <v>0</v>
      </c>
      <c r="E21" s="1107">
        <f t="shared" si="2"/>
        <v>544100</v>
      </c>
      <c r="F21" s="1106">
        <f>+COG!G16</f>
        <v>239011.44</v>
      </c>
      <c r="G21" s="1106">
        <f>+COG!H16</f>
        <v>239011.44</v>
      </c>
      <c r="H21" s="1108">
        <f t="shared" si="3"/>
        <v>305088.56</v>
      </c>
    </row>
    <row r="22" spans="2:8">
      <c r="B22" s="1234" t="s">
        <v>5096</v>
      </c>
      <c r="C22" s="1106">
        <f>+COG!D17</f>
        <v>49999.999999999993</v>
      </c>
      <c r="D22" s="1106">
        <f>+COG!E17</f>
        <v>0</v>
      </c>
      <c r="E22" s="1107">
        <f t="shared" si="2"/>
        <v>49999.999999999993</v>
      </c>
      <c r="F22" s="1106">
        <f>+COG!G17</f>
        <v>48403.05</v>
      </c>
      <c r="G22" s="1106">
        <f>+COG!H17</f>
        <v>48403.05</v>
      </c>
      <c r="H22" s="1108">
        <f t="shared" si="3"/>
        <v>1596.9499999999898</v>
      </c>
    </row>
    <row r="23" spans="2:8" ht="24">
      <c r="B23" s="1234" t="s">
        <v>5097</v>
      </c>
      <c r="C23" s="1106">
        <v>0</v>
      </c>
      <c r="D23" s="1106">
        <v>0</v>
      </c>
      <c r="E23" s="1107">
        <f t="shared" si="2"/>
        <v>0</v>
      </c>
      <c r="F23" s="1106">
        <v>0</v>
      </c>
      <c r="G23" s="1106">
        <v>0</v>
      </c>
      <c r="H23" s="1108">
        <f t="shared" si="3"/>
        <v>0</v>
      </c>
    </row>
    <row r="24" spans="2:8" ht="24">
      <c r="B24" s="1234" t="s">
        <v>5098</v>
      </c>
      <c r="C24" s="1106">
        <v>0</v>
      </c>
      <c r="D24" s="1106">
        <v>0</v>
      </c>
      <c r="E24" s="1107">
        <f t="shared" si="2"/>
        <v>0</v>
      </c>
      <c r="F24" s="1106">
        <v>0</v>
      </c>
      <c r="G24" s="1106">
        <v>0</v>
      </c>
      <c r="H24" s="1108">
        <f t="shared" si="3"/>
        <v>0</v>
      </c>
    </row>
    <row r="25" spans="2:8" ht="23.45" customHeight="1">
      <c r="B25" s="1234" t="s">
        <v>5099</v>
      </c>
      <c r="C25" s="1106">
        <f>+COG!D18</f>
        <v>2000</v>
      </c>
      <c r="D25" s="1106">
        <f>+COG!E18</f>
        <v>0</v>
      </c>
      <c r="E25" s="1107">
        <f t="shared" si="2"/>
        <v>2000</v>
      </c>
      <c r="F25" s="1106">
        <f>+COG!G18</f>
        <v>833.18</v>
      </c>
      <c r="G25" s="1106">
        <f>+COG!H18</f>
        <v>833.18</v>
      </c>
      <c r="H25" s="1108">
        <f t="shared" si="3"/>
        <v>1166.8200000000002</v>
      </c>
    </row>
    <row r="26" spans="2:8">
      <c r="B26" s="1234" t="s">
        <v>5100</v>
      </c>
      <c r="C26" s="1106">
        <f>+COG!D19</f>
        <v>1556910.4640000004</v>
      </c>
      <c r="D26" s="1106">
        <f>+COG!E19</f>
        <v>0</v>
      </c>
      <c r="E26" s="1107">
        <f t="shared" si="2"/>
        <v>1556910.4640000004</v>
      </c>
      <c r="F26" s="1106">
        <f>+COG!G19</f>
        <v>574546.04</v>
      </c>
      <c r="G26" s="1106">
        <f>+COG!H19</f>
        <v>574546.04</v>
      </c>
      <c r="H26" s="1108">
        <f t="shared" si="3"/>
        <v>982364.42400000035</v>
      </c>
    </row>
    <row r="27" spans="2:8" ht="24">
      <c r="B27" s="1234" t="s">
        <v>5101</v>
      </c>
      <c r="C27" s="1106">
        <v>0</v>
      </c>
      <c r="D27" s="1106">
        <v>0</v>
      </c>
      <c r="E27" s="1107">
        <f t="shared" si="2"/>
        <v>0</v>
      </c>
      <c r="F27" s="1105">
        <v>0</v>
      </c>
      <c r="G27" s="1105">
        <v>0</v>
      </c>
      <c r="H27" s="1108">
        <f t="shared" si="3"/>
        <v>0</v>
      </c>
    </row>
    <row r="28" spans="2:8" ht="12" customHeight="1">
      <c r="B28" s="1234" t="s">
        <v>5102</v>
      </c>
      <c r="C28" s="1106">
        <v>0</v>
      </c>
      <c r="D28" s="1106">
        <v>0</v>
      </c>
      <c r="E28" s="1107">
        <f t="shared" si="2"/>
        <v>0</v>
      </c>
      <c r="F28" s="1105">
        <v>0</v>
      </c>
      <c r="G28" s="1105">
        <v>0</v>
      </c>
      <c r="H28" s="1108">
        <f t="shared" si="3"/>
        <v>0</v>
      </c>
    </row>
    <row r="29" spans="2:8" ht="25.9" customHeight="1">
      <c r="B29" s="1234" t="s">
        <v>5103</v>
      </c>
      <c r="C29" s="1106">
        <v>0</v>
      </c>
      <c r="D29" s="1106">
        <v>0</v>
      </c>
      <c r="E29" s="1107">
        <f t="shared" si="2"/>
        <v>0</v>
      </c>
      <c r="F29" s="1105">
        <v>0</v>
      </c>
      <c r="G29" s="1105">
        <v>0</v>
      </c>
      <c r="H29" s="1108">
        <f t="shared" si="3"/>
        <v>0</v>
      </c>
    </row>
    <row r="30" spans="2:8" s="1271" customFormat="1" ht="24">
      <c r="B30" s="1272" t="s">
        <v>5104</v>
      </c>
      <c r="C30" s="1269">
        <f>SUM(C31:C39)</f>
        <v>115790657.28028001</v>
      </c>
      <c r="D30" s="1269">
        <f t="shared" ref="D30:H30" si="5">SUM(D31:D39)</f>
        <v>2683490</v>
      </c>
      <c r="E30" s="1116">
        <f t="shared" si="5"/>
        <v>118474147.28028001</v>
      </c>
      <c r="F30" s="1269">
        <f t="shared" si="5"/>
        <v>35452187.299999997</v>
      </c>
      <c r="G30" s="1269">
        <f t="shared" si="5"/>
        <v>35452187.299999997</v>
      </c>
      <c r="H30" s="1116">
        <f t="shared" si="5"/>
        <v>83021959.980279997</v>
      </c>
    </row>
    <row r="31" spans="2:8">
      <c r="B31" s="1234" t="s">
        <v>5105</v>
      </c>
      <c r="C31" s="1106">
        <f>+COG!D21</f>
        <v>70325665.868799999</v>
      </c>
      <c r="D31" s="1106">
        <f>+COG!E21</f>
        <v>835000</v>
      </c>
      <c r="E31" s="1107">
        <f t="shared" si="2"/>
        <v>71160665.868799999</v>
      </c>
      <c r="F31" s="1106">
        <f>+COG!G21</f>
        <v>12560817.130000001</v>
      </c>
      <c r="G31" s="1106">
        <f>+COG!H21</f>
        <v>12560817.130000001</v>
      </c>
      <c r="H31" s="1108">
        <f t="shared" si="3"/>
        <v>58599848.738799997</v>
      </c>
    </row>
    <row r="32" spans="2:8">
      <c r="B32" s="1234" t="s">
        <v>5106</v>
      </c>
      <c r="C32" s="1106">
        <f>+COG!D22</f>
        <v>39600</v>
      </c>
      <c r="D32" s="1106">
        <f>+COG!E22</f>
        <v>0</v>
      </c>
      <c r="E32" s="1107">
        <f t="shared" si="2"/>
        <v>39600</v>
      </c>
      <c r="F32" s="1106">
        <f>+COG!G22</f>
        <v>36150</v>
      </c>
      <c r="G32" s="1106">
        <f>+COG!H22</f>
        <v>36150</v>
      </c>
      <c r="H32" s="1108">
        <f t="shared" si="3"/>
        <v>3450</v>
      </c>
    </row>
    <row r="33" spans="2:8" ht="24">
      <c r="B33" s="1234" t="s">
        <v>5107</v>
      </c>
      <c r="C33" s="1106">
        <f>+COG!D23</f>
        <v>14500600</v>
      </c>
      <c r="D33" s="1106">
        <f>+COG!E23</f>
        <v>995490</v>
      </c>
      <c r="E33" s="1107">
        <f t="shared" si="2"/>
        <v>15496090</v>
      </c>
      <c r="F33" s="1106">
        <f>+COG!G23</f>
        <v>9206568.4899999984</v>
      </c>
      <c r="G33" s="1106">
        <f>+COG!H23</f>
        <v>9206568.4899999984</v>
      </c>
      <c r="H33" s="1108">
        <f t="shared" si="3"/>
        <v>6289521.5100000016</v>
      </c>
    </row>
    <row r="34" spans="2:8" ht="24">
      <c r="B34" s="1234" t="s">
        <v>5108</v>
      </c>
      <c r="C34" s="1106">
        <f>+COG!D24</f>
        <v>570388.0896399999</v>
      </c>
      <c r="D34" s="1106">
        <f>+COG!E24</f>
        <v>78000</v>
      </c>
      <c r="E34" s="1107">
        <f t="shared" si="2"/>
        <v>648388.0896399999</v>
      </c>
      <c r="F34" s="1106">
        <f>+COG!G24</f>
        <v>386838.92</v>
      </c>
      <c r="G34" s="1106">
        <f>+COG!H24</f>
        <v>386838.92</v>
      </c>
      <c r="H34" s="1108">
        <f t="shared" si="3"/>
        <v>261549.16963999992</v>
      </c>
    </row>
    <row r="35" spans="2:8" ht="24">
      <c r="B35" s="1234" t="s">
        <v>5109</v>
      </c>
      <c r="C35" s="1106">
        <f>+COG!D25</f>
        <v>19517941.469999999</v>
      </c>
      <c r="D35" s="1106">
        <f>+COG!E25</f>
        <v>775000</v>
      </c>
      <c r="E35" s="1107">
        <f t="shared" si="2"/>
        <v>20292941.469999999</v>
      </c>
      <c r="F35" s="1106">
        <f>+COG!G25</f>
        <v>9053529.9499999993</v>
      </c>
      <c r="G35" s="1106">
        <f>+COG!H25</f>
        <v>9053529.9499999993</v>
      </c>
      <c r="H35" s="1108">
        <f t="shared" si="3"/>
        <v>11239411.52</v>
      </c>
    </row>
    <row r="36" spans="2:8" ht="24">
      <c r="B36" s="1234" t="s">
        <v>5110</v>
      </c>
      <c r="C36" s="1106">
        <v>0</v>
      </c>
      <c r="D36" s="1106">
        <v>0</v>
      </c>
      <c r="E36" s="1107">
        <f t="shared" si="2"/>
        <v>0</v>
      </c>
      <c r="F36" s="1106">
        <v>0</v>
      </c>
      <c r="G36" s="1106">
        <v>0</v>
      </c>
      <c r="H36" s="1108">
        <f t="shared" si="3"/>
        <v>0</v>
      </c>
    </row>
    <row r="37" spans="2:8">
      <c r="B37" s="1234" t="s">
        <v>5111</v>
      </c>
      <c r="C37" s="1106">
        <f>+COG!D26</f>
        <v>2128000</v>
      </c>
      <c r="D37" s="1106">
        <f>+COG!E26</f>
        <v>0</v>
      </c>
      <c r="E37" s="1107">
        <f t="shared" si="2"/>
        <v>2128000</v>
      </c>
      <c r="F37" s="1106">
        <f>+COG!G26</f>
        <v>150779.51</v>
      </c>
      <c r="G37" s="1106">
        <f>+COG!H26</f>
        <v>150779.51</v>
      </c>
      <c r="H37" s="1108">
        <f t="shared" si="3"/>
        <v>1977220.49</v>
      </c>
    </row>
    <row r="38" spans="2:8">
      <c r="B38" s="1234" t="s">
        <v>5112</v>
      </c>
      <c r="C38" s="1106">
        <f>+COG!D27</f>
        <v>2409000</v>
      </c>
      <c r="D38" s="1106">
        <f>+COG!E27</f>
        <v>0</v>
      </c>
      <c r="E38" s="1107">
        <f t="shared" si="2"/>
        <v>2409000</v>
      </c>
      <c r="F38" s="1106">
        <f>+COG!G27</f>
        <v>672533.02</v>
      </c>
      <c r="G38" s="1106">
        <f>+COG!H27</f>
        <v>672533.02</v>
      </c>
      <c r="H38" s="1108">
        <f t="shared" si="3"/>
        <v>1736466.98</v>
      </c>
    </row>
    <row r="39" spans="2:8">
      <c r="B39" s="1234" t="s">
        <v>5113</v>
      </c>
      <c r="C39" s="1106">
        <f>+COG!D28</f>
        <v>6299461.8518399987</v>
      </c>
      <c r="D39" s="1106">
        <f>+COG!E28</f>
        <v>0</v>
      </c>
      <c r="E39" s="1107">
        <f t="shared" si="2"/>
        <v>6299461.8518399987</v>
      </c>
      <c r="F39" s="1106">
        <f>+COG!G28</f>
        <v>3384970.28</v>
      </c>
      <c r="G39" s="1106">
        <f>+COG!H28</f>
        <v>3384970.28</v>
      </c>
      <c r="H39" s="1108">
        <f t="shared" si="3"/>
        <v>2914491.5718399989</v>
      </c>
    </row>
    <row r="40" spans="2:8" s="1271" customFormat="1" ht="25.5" customHeight="1">
      <c r="B40" s="1272" t="s">
        <v>5114</v>
      </c>
      <c r="C40" s="1269">
        <f>SUM(C41:C49)</f>
        <v>1016994.2842170001</v>
      </c>
      <c r="D40" s="1269">
        <f t="shared" ref="D40:H40" si="6">SUM(D41:D49)</f>
        <v>0</v>
      </c>
      <c r="E40" s="1116">
        <f t="shared" si="6"/>
        <v>1016994.2842170001</v>
      </c>
      <c r="F40" s="1269">
        <f t="shared" si="6"/>
        <v>794214.88000000012</v>
      </c>
      <c r="G40" s="1269">
        <f t="shared" si="6"/>
        <v>794214.88000000012</v>
      </c>
      <c r="H40" s="1116">
        <f t="shared" si="6"/>
        <v>222779.40421700006</v>
      </c>
    </row>
    <row r="41" spans="2:8" ht="24">
      <c r="B41" s="1234" t="s">
        <v>5115</v>
      </c>
      <c r="C41" s="1106">
        <f>+COG!D30</f>
        <v>240000</v>
      </c>
      <c r="D41" s="1106">
        <v>0</v>
      </c>
      <c r="E41" s="1107">
        <f t="shared" si="2"/>
        <v>240000</v>
      </c>
      <c r="F41" s="1106">
        <f>+COG!G30</f>
        <v>149551.82</v>
      </c>
      <c r="G41" s="1106">
        <f>+COG!H30</f>
        <v>149551.82</v>
      </c>
      <c r="H41" s="1108">
        <f t="shared" si="3"/>
        <v>90448.18</v>
      </c>
    </row>
    <row r="42" spans="2:8">
      <c r="B42" s="1234" t="s">
        <v>5116</v>
      </c>
      <c r="C42" s="1106">
        <v>0</v>
      </c>
      <c r="D42" s="1106">
        <v>0</v>
      </c>
      <c r="E42" s="1107">
        <f t="shared" si="2"/>
        <v>0</v>
      </c>
      <c r="F42" s="1106">
        <v>0</v>
      </c>
      <c r="G42" s="1106">
        <v>0</v>
      </c>
      <c r="H42" s="1108">
        <f t="shared" si="3"/>
        <v>0</v>
      </c>
    </row>
    <row r="43" spans="2:8">
      <c r="B43" s="1234" t="s">
        <v>5117</v>
      </c>
      <c r="C43" s="1106">
        <v>0</v>
      </c>
      <c r="D43" s="1106">
        <v>0</v>
      </c>
      <c r="E43" s="1107">
        <f t="shared" si="2"/>
        <v>0</v>
      </c>
      <c r="F43" s="1106">
        <v>0</v>
      </c>
      <c r="G43" s="1106">
        <v>0</v>
      </c>
      <c r="H43" s="1108">
        <f t="shared" si="3"/>
        <v>0</v>
      </c>
    </row>
    <row r="44" spans="2:8">
      <c r="B44" s="1234" t="s">
        <v>5118</v>
      </c>
      <c r="C44" s="1106">
        <v>0</v>
      </c>
      <c r="D44" s="1106">
        <v>0</v>
      </c>
      <c r="E44" s="1107">
        <f t="shared" si="2"/>
        <v>0</v>
      </c>
      <c r="F44" s="1106">
        <v>0</v>
      </c>
      <c r="G44" s="1106">
        <v>0</v>
      </c>
      <c r="H44" s="1108">
        <f t="shared" si="3"/>
        <v>0</v>
      </c>
    </row>
    <row r="45" spans="2:8">
      <c r="B45" s="1234" t="s">
        <v>5119</v>
      </c>
      <c r="C45" s="1106">
        <f>+COG!D31</f>
        <v>776994.28421700012</v>
      </c>
      <c r="D45" s="1106">
        <v>0</v>
      </c>
      <c r="E45" s="1107">
        <f t="shared" si="2"/>
        <v>776994.28421700012</v>
      </c>
      <c r="F45" s="1106">
        <f>+COG!G31</f>
        <v>644663.06000000006</v>
      </c>
      <c r="G45" s="1106">
        <f>+COG!H31</f>
        <v>644663.06000000006</v>
      </c>
      <c r="H45" s="1108">
        <f t="shared" si="3"/>
        <v>132331.22421700007</v>
      </c>
    </row>
    <row r="46" spans="2:8" ht="24">
      <c r="B46" s="1234" t="s">
        <v>5120</v>
      </c>
      <c r="C46" s="1106">
        <v>0</v>
      </c>
      <c r="D46" s="1106">
        <v>0</v>
      </c>
      <c r="E46" s="1107">
        <f t="shared" si="2"/>
        <v>0</v>
      </c>
      <c r="F46" s="1105">
        <v>0</v>
      </c>
      <c r="G46" s="1105">
        <v>0</v>
      </c>
      <c r="H46" s="1108">
        <f t="shared" si="3"/>
        <v>0</v>
      </c>
    </row>
    <row r="47" spans="2:8">
      <c r="B47" s="1234" t="s">
        <v>5121</v>
      </c>
      <c r="C47" s="1106">
        <v>0</v>
      </c>
      <c r="D47" s="1106">
        <v>0</v>
      </c>
      <c r="E47" s="1107">
        <f t="shared" si="2"/>
        <v>0</v>
      </c>
      <c r="F47" s="1105">
        <v>0</v>
      </c>
      <c r="G47" s="1105">
        <v>0</v>
      </c>
      <c r="H47" s="1108">
        <f t="shared" si="3"/>
        <v>0</v>
      </c>
    </row>
    <row r="48" spans="2:8">
      <c r="B48" s="1234" t="s">
        <v>5122</v>
      </c>
      <c r="C48" s="1106">
        <v>0</v>
      </c>
      <c r="D48" s="1106">
        <v>0</v>
      </c>
      <c r="E48" s="1107">
        <f t="shared" si="2"/>
        <v>0</v>
      </c>
      <c r="F48" s="1105">
        <v>0</v>
      </c>
      <c r="G48" s="1105">
        <v>0</v>
      </c>
      <c r="H48" s="1108">
        <f t="shared" si="3"/>
        <v>0</v>
      </c>
    </row>
    <row r="49" spans="2:8">
      <c r="B49" s="1234" t="s">
        <v>5123</v>
      </c>
      <c r="C49" s="1106">
        <v>0</v>
      </c>
      <c r="D49" s="1106">
        <v>0</v>
      </c>
      <c r="E49" s="1107">
        <f t="shared" si="2"/>
        <v>0</v>
      </c>
      <c r="F49" s="1105">
        <v>0</v>
      </c>
      <c r="G49" s="1105">
        <v>0</v>
      </c>
      <c r="H49" s="1108">
        <f t="shared" si="3"/>
        <v>0</v>
      </c>
    </row>
    <row r="50" spans="2:8" s="1271" customFormat="1" ht="25.5" customHeight="1">
      <c r="B50" s="1272" t="s">
        <v>5124</v>
      </c>
      <c r="C50" s="1269">
        <f>SUM(C51:C59)</f>
        <v>0</v>
      </c>
      <c r="D50" s="1269">
        <f t="shared" ref="D50:H50" si="7">SUM(D51:D59)</f>
        <v>0</v>
      </c>
      <c r="E50" s="1116">
        <f t="shared" si="7"/>
        <v>0</v>
      </c>
      <c r="F50" s="1269">
        <f t="shared" si="7"/>
        <v>0</v>
      </c>
      <c r="G50" s="1269">
        <f t="shared" si="7"/>
        <v>0</v>
      </c>
      <c r="H50" s="1116">
        <f t="shared" si="7"/>
        <v>0</v>
      </c>
    </row>
    <row r="51" spans="2:8">
      <c r="B51" s="1234" t="s">
        <v>5125</v>
      </c>
      <c r="C51" s="1106">
        <v>0</v>
      </c>
      <c r="D51" s="1106">
        <v>0</v>
      </c>
      <c r="E51" s="1107">
        <f t="shared" si="2"/>
        <v>0</v>
      </c>
      <c r="F51" s="1105">
        <v>0</v>
      </c>
      <c r="G51" s="1105">
        <v>0</v>
      </c>
      <c r="H51" s="1108">
        <f t="shared" si="3"/>
        <v>0</v>
      </c>
    </row>
    <row r="52" spans="2:8">
      <c r="B52" s="1234" t="s">
        <v>5126</v>
      </c>
      <c r="C52" s="1106">
        <v>0</v>
      </c>
      <c r="D52" s="1106">
        <v>0</v>
      </c>
      <c r="E52" s="1107">
        <f t="shared" si="2"/>
        <v>0</v>
      </c>
      <c r="F52" s="1105">
        <v>0</v>
      </c>
      <c r="G52" s="1105">
        <v>0</v>
      </c>
      <c r="H52" s="1108">
        <f t="shared" si="3"/>
        <v>0</v>
      </c>
    </row>
    <row r="53" spans="2:8" ht="24">
      <c r="B53" s="1234" t="s">
        <v>5127</v>
      </c>
      <c r="C53" s="1106">
        <v>0</v>
      </c>
      <c r="D53" s="1106">
        <v>0</v>
      </c>
      <c r="E53" s="1107">
        <f t="shared" si="2"/>
        <v>0</v>
      </c>
      <c r="F53" s="1105">
        <v>0</v>
      </c>
      <c r="G53" s="1105">
        <v>0</v>
      </c>
      <c r="H53" s="1108">
        <f t="shared" si="3"/>
        <v>0</v>
      </c>
    </row>
    <row r="54" spans="2:8">
      <c r="B54" s="1234" t="s">
        <v>5128</v>
      </c>
      <c r="C54" s="1106">
        <v>0</v>
      </c>
      <c r="D54" s="1106">
        <v>0</v>
      </c>
      <c r="E54" s="1107">
        <f t="shared" si="2"/>
        <v>0</v>
      </c>
      <c r="F54" s="1105">
        <v>0</v>
      </c>
      <c r="G54" s="1105">
        <v>0</v>
      </c>
      <c r="H54" s="1108">
        <f t="shared" si="3"/>
        <v>0</v>
      </c>
    </row>
    <row r="55" spans="2:8">
      <c r="B55" s="1234" t="s">
        <v>5129</v>
      </c>
      <c r="C55" s="1106">
        <v>0</v>
      </c>
      <c r="D55" s="1106">
        <v>0</v>
      </c>
      <c r="E55" s="1107">
        <f t="shared" si="2"/>
        <v>0</v>
      </c>
      <c r="F55" s="1105">
        <v>0</v>
      </c>
      <c r="G55" s="1105">
        <v>0</v>
      </c>
      <c r="H55" s="1108">
        <f t="shared" si="3"/>
        <v>0</v>
      </c>
    </row>
    <row r="56" spans="2:8">
      <c r="B56" s="1234" t="s">
        <v>5130</v>
      </c>
      <c r="C56" s="1106">
        <v>0</v>
      </c>
      <c r="D56" s="1106">
        <v>0</v>
      </c>
      <c r="E56" s="1107">
        <f t="shared" si="2"/>
        <v>0</v>
      </c>
      <c r="F56" s="1105">
        <v>0</v>
      </c>
      <c r="G56" s="1105">
        <v>0</v>
      </c>
      <c r="H56" s="1108">
        <f t="shared" si="3"/>
        <v>0</v>
      </c>
    </row>
    <row r="57" spans="2:8">
      <c r="B57" s="1234" t="s">
        <v>5131</v>
      </c>
      <c r="C57" s="1106">
        <v>0</v>
      </c>
      <c r="D57" s="1106">
        <v>0</v>
      </c>
      <c r="E57" s="1107">
        <f t="shared" si="2"/>
        <v>0</v>
      </c>
      <c r="F57" s="1105">
        <v>0</v>
      </c>
      <c r="G57" s="1105">
        <v>0</v>
      </c>
      <c r="H57" s="1108">
        <f t="shared" si="3"/>
        <v>0</v>
      </c>
    </row>
    <row r="58" spans="2:8">
      <c r="B58" s="1234" t="s">
        <v>5132</v>
      </c>
      <c r="C58" s="1106">
        <v>0</v>
      </c>
      <c r="D58" s="1106">
        <v>0</v>
      </c>
      <c r="E58" s="1107">
        <f t="shared" si="2"/>
        <v>0</v>
      </c>
      <c r="F58" s="1105">
        <v>0</v>
      </c>
      <c r="G58" s="1105">
        <v>0</v>
      </c>
      <c r="H58" s="1108">
        <f t="shared" si="3"/>
        <v>0</v>
      </c>
    </row>
    <row r="59" spans="2:8">
      <c r="B59" s="1234" t="s">
        <v>5133</v>
      </c>
      <c r="C59" s="1106">
        <v>0</v>
      </c>
      <c r="D59" s="1106">
        <v>0</v>
      </c>
      <c r="E59" s="1107">
        <f t="shared" si="2"/>
        <v>0</v>
      </c>
      <c r="F59" s="1105">
        <v>0</v>
      </c>
      <c r="G59" s="1105">
        <v>0</v>
      </c>
      <c r="H59" s="1108">
        <f t="shared" si="3"/>
        <v>0</v>
      </c>
    </row>
    <row r="60" spans="2:8" s="1271" customFormat="1">
      <c r="B60" s="1268" t="s">
        <v>5134</v>
      </c>
      <c r="C60" s="1269">
        <f>SUM(C61:C63)</f>
        <v>0</v>
      </c>
      <c r="D60" s="1269">
        <f t="shared" ref="D60:H60" si="8">SUM(D61:D63)</f>
        <v>0</v>
      </c>
      <c r="E60" s="1116">
        <f t="shared" si="8"/>
        <v>0</v>
      </c>
      <c r="F60" s="1269">
        <f t="shared" si="8"/>
        <v>0</v>
      </c>
      <c r="G60" s="1269">
        <f t="shared" si="8"/>
        <v>0</v>
      </c>
      <c r="H60" s="1116">
        <f t="shared" si="8"/>
        <v>0</v>
      </c>
    </row>
    <row r="61" spans="2:8">
      <c r="B61" s="1234" t="s">
        <v>5135</v>
      </c>
      <c r="C61" s="1106">
        <v>0</v>
      </c>
      <c r="D61" s="1106">
        <v>0</v>
      </c>
      <c r="E61" s="1107">
        <f t="shared" si="2"/>
        <v>0</v>
      </c>
      <c r="F61" s="1105">
        <v>0</v>
      </c>
      <c r="G61" s="1105">
        <v>0</v>
      </c>
      <c r="H61" s="1108">
        <f t="shared" si="3"/>
        <v>0</v>
      </c>
    </row>
    <row r="62" spans="2:8">
      <c r="B62" s="1234" t="s">
        <v>5136</v>
      </c>
      <c r="C62" s="1106">
        <v>0</v>
      </c>
      <c r="D62" s="1106">
        <v>0</v>
      </c>
      <c r="E62" s="1107">
        <f t="shared" si="2"/>
        <v>0</v>
      </c>
      <c r="F62" s="1105">
        <v>0</v>
      </c>
      <c r="G62" s="1105">
        <v>0</v>
      </c>
      <c r="H62" s="1108">
        <f t="shared" si="3"/>
        <v>0</v>
      </c>
    </row>
    <row r="63" spans="2:8" ht="24">
      <c r="B63" s="1234" t="s">
        <v>5137</v>
      </c>
      <c r="C63" s="1106">
        <v>0</v>
      </c>
      <c r="D63" s="1106">
        <v>0</v>
      </c>
      <c r="E63" s="1107">
        <f t="shared" si="2"/>
        <v>0</v>
      </c>
      <c r="F63" s="1105">
        <v>0</v>
      </c>
      <c r="G63" s="1105">
        <v>0</v>
      </c>
      <c r="H63" s="1108">
        <f>SUM(E63-F63)</f>
        <v>0</v>
      </c>
    </row>
    <row r="64" spans="2:8" s="1271" customFormat="1" ht="24.75" customHeight="1">
      <c r="B64" s="1272" t="s">
        <v>5138</v>
      </c>
      <c r="C64" s="1269">
        <f>SUM(C65:C72)</f>
        <v>0</v>
      </c>
      <c r="D64" s="1269">
        <f t="shared" ref="D64:H64" si="9">SUM(D65:D72)</f>
        <v>0</v>
      </c>
      <c r="E64" s="1116">
        <f t="shared" si="9"/>
        <v>0</v>
      </c>
      <c r="F64" s="1269">
        <f t="shared" si="9"/>
        <v>0</v>
      </c>
      <c r="G64" s="1269">
        <f t="shared" si="9"/>
        <v>0</v>
      </c>
      <c r="H64" s="1116">
        <f t="shared" si="9"/>
        <v>0</v>
      </c>
    </row>
    <row r="65" spans="2:8" ht="24">
      <c r="B65" s="1234" t="s">
        <v>5139</v>
      </c>
      <c r="C65" s="1106">
        <v>0</v>
      </c>
      <c r="D65" s="1106">
        <v>0</v>
      </c>
      <c r="E65" s="1107">
        <f t="shared" si="2"/>
        <v>0</v>
      </c>
      <c r="F65" s="1105">
        <v>0</v>
      </c>
      <c r="G65" s="1105">
        <v>0</v>
      </c>
      <c r="H65" s="1108">
        <f t="shared" si="3"/>
        <v>0</v>
      </c>
    </row>
    <row r="66" spans="2:8">
      <c r="B66" s="1234" t="s">
        <v>5140</v>
      </c>
      <c r="C66" s="1106">
        <v>0</v>
      </c>
      <c r="D66" s="1106">
        <v>0</v>
      </c>
      <c r="E66" s="1107">
        <f t="shared" si="2"/>
        <v>0</v>
      </c>
      <c r="F66" s="1105">
        <v>0</v>
      </c>
      <c r="G66" s="1105">
        <v>0</v>
      </c>
      <c r="H66" s="1108">
        <f t="shared" si="3"/>
        <v>0</v>
      </c>
    </row>
    <row r="67" spans="2:8">
      <c r="B67" s="1234" t="s">
        <v>5141</v>
      </c>
      <c r="C67" s="1106">
        <v>0</v>
      </c>
      <c r="D67" s="1106">
        <v>0</v>
      </c>
      <c r="E67" s="1107">
        <f t="shared" si="2"/>
        <v>0</v>
      </c>
      <c r="F67" s="1105">
        <v>0</v>
      </c>
      <c r="G67" s="1105">
        <v>0</v>
      </c>
      <c r="H67" s="1108">
        <f t="shared" si="3"/>
        <v>0</v>
      </c>
    </row>
    <row r="68" spans="2:8">
      <c r="B68" s="1234" t="s">
        <v>5142</v>
      </c>
      <c r="C68" s="1106">
        <v>0</v>
      </c>
      <c r="D68" s="1106">
        <v>0</v>
      </c>
      <c r="E68" s="1107">
        <f t="shared" si="2"/>
        <v>0</v>
      </c>
      <c r="F68" s="1105">
        <v>0</v>
      </c>
      <c r="G68" s="1105">
        <v>0</v>
      </c>
      <c r="H68" s="1108">
        <f t="shared" si="3"/>
        <v>0</v>
      </c>
    </row>
    <row r="69" spans="2:8" ht="24">
      <c r="B69" s="1234" t="s">
        <v>5143</v>
      </c>
      <c r="C69" s="1106">
        <v>0</v>
      </c>
      <c r="D69" s="1106">
        <v>0</v>
      </c>
      <c r="E69" s="1107">
        <f t="shared" si="2"/>
        <v>0</v>
      </c>
      <c r="F69" s="1105">
        <v>0</v>
      </c>
      <c r="G69" s="1105">
        <v>0</v>
      </c>
      <c r="H69" s="1108">
        <f t="shared" si="3"/>
        <v>0</v>
      </c>
    </row>
    <row r="70" spans="2:8" ht="24">
      <c r="B70" s="1234" t="s">
        <v>5144</v>
      </c>
      <c r="C70" s="1106">
        <v>0</v>
      </c>
      <c r="D70" s="1106">
        <v>0</v>
      </c>
      <c r="E70" s="1107">
        <f t="shared" si="2"/>
        <v>0</v>
      </c>
      <c r="F70" s="1105">
        <v>0</v>
      </c>
      <c r="G70" s="1105">
        <v>0</v>
      </c>
      <c r="H70" s="1108">
        <f t="shared" si="3"/>
        <v>0</v>
      </c>
    </row>
    <row r="71" spans="2:8">
      <c r="B71" s="1234" t="s">
        <v>5145</v>
      </c>
      <c r="C71" s="1106">
        <v>0</v>
      </c>
      <c r="D71" s="1106">
        <v>0</v>
      </c>
      <c r="E71" s="1107">
        <f t="shared" si="2"/>
        <v>0</v>
      </c>
      <c r="F71" s="1105">
        <v>0</v>
      </c>
      <c r="G71" s="1105">
        <v>0</v>
      </c>
      <c r="H71" s="1108">
        <f t="shared" si="3"/>
        <v>0</v>
      </c>
    </row>
    <row r="72" spans="2:8" ht="24">
      <c r="B72" s="1234" t="s">
        <v>5146</v>
      </c>
      <c r="C72" s="1106">
        <v>0</v>
      </c>
      <c r="D72" s="1106">
        <v>0</v>
      </c>
      <c r="E72" s="1107">
        <f t="shared" si="2"/>
        <v>0</v>
      </c>
      <c r="F72" s="1105">
        <v>0</v>
      </c>
      <c r="G72" s="1105">
        <v>0</v>
      </c>
      <c r="H72" s="1108">
        <f t="shared" si="3"/>
        <v>0</v>
      </c>
    </row>
    <row r="73" spans="2:8" s="1271" customFormat="1">
      <c r="B73" s="1268" t="s">
        <v>5147</v>
      </c>
      <c r="C73" s="1269">
        <f>SUM(C74:C76)</f>
        <v>0</v>
      </c>
      <c r="D73" s="1269">
        <f t="shared" ref="D73:H73" si="10">SUM(D74:D76)</f>
        <v>0</v>
      </c>
      <c r="E73" s="1116">
        <f t="shared" si="10"/>
        <v>0</v>
      </c>
      <c r="F73" s="1269">
        <f t="shared" si="10"/>
        <v>0</v>
      </c>
      <c r="G73" s="1269">
        <f t="shared" si="10"/>
        <v>0</v>
      </c>
      <c r="H73" s="1116">
        <f t="shared" si="10"/>
        <v>0</v>
      </c>
    </row>
    <row r="74" spans="2:8">
      <c r="B74" s="1273" t="s">
        <v>5148</v>
      </c>
      <c r="C74" s="1106">
        <v>0</v>
      </c>
      <c r="D74" s="1106">
        <v>0</v>
      </c>
      <c r="E74" s="1107">
        <f t="shared" si="2"/>
        <v>0</v>
      </c>
      <c r="F74" s="1105">
        <v>0</v>
      </c>
      <c r="G74" s="1106">
        <v>0</v>
      </c>
      <c r="H74" s="1108">
        <f t="shared" si="3"/>
        <v>0</v>
      </c>
    </row>
    <row r="75" spans="2:8">
      <c r="B75" s="1273" t="s">
        <v>5149</v>
      </c>
      <c r="C75" s="1106">
        <v>0</v>
      </c>
      <c r="D75" s="1106">
        <v>0</v>
      </c>
      <c r="E75" s="1107">
        <f t="shared" si="2"/>
        <v>0</v>
      </c>
      <c r="F75" s="1105">
        <v>0</v>
      </c>
      <c r="G75" s="1106">
        <v>0</v>
      </c>
      <c r="H75" s="1108">
        <f t="shared" si="3"/>
        <v>0</v>
      </c>
    </row>
    <row r="76" spans="2:8">
      <c r="B76" s="1273" t="s">
        <v>5150</v>
      </c>
      <c r="C76" s="1106">
        <v>0</v>
      </c>
      <c r="D76" s="1106">
        <v>0</v>
      </c>
      <c r="E76" s="1107">
        <f t="shared" si="2"/>
        <v>0</v>
      </c>
      <c r="F76" s="1105">
        <v>0</v>
      </c>
      <c r="G76" s="1106">
        <v>0</v>
      </c>
      <c r="H76" s="1108">
        <f t="shared" si="3"/>
        <v>0</v>
      </c>
    </row>
    <row r="77" spans="2:8" s="1271" customFormat="1">
      <c r="B77" s="1268" t="s">
        <v>5151</v>
      </c>
      <c r="C77" s="1269">
        <f>SUM(C78:C84)</f>
        <v>0</v>
      </c>
      <c r="D77" s="1269">
        <f t="shared" ref="D77:H77" si="11">SUM(D78:D84)</f>
        <v>0</v>
      </c>
      <c r="E77" s="1116">
        <f t="shared" si="11"/>
        <v>0</v>
      </c>
      <c r="F77" s="1269">
        <f t="shared" si="11"/>
        <v>0</v>
      </c>
      <c r="G77" s="1269">
        <f t="shared" si="11"/>
        <v>0</v>
      </c>
      <c r="H77" s="1116">
        <f t="shared" si="11"/>
        <v>0</v>
      </c>
    </row>
    <row r="78" spans="2:8">
      <c r="B78" s="1234" t="s">
        <v>5152</v>
      </c>
      <c r="C78" s="1106">
        <v>0</v>
      </c>
      <c r="D78" s="1106">
        <v>0</v>
      </c>
      <c r="E78" s="1107">
        <f t="shared" si="2"/>
        <v>0</v>
      </c>
      <c r="F78" s="1105">
        <v>0</v>
      </c>
      <c r="G78" s="1106">
        <v>0</v>
      </c>
      <c r="H78" s="1108">
        <f t="shared" si="3"/>
        <v>0</v>
      </c>
    </row>
    <row r="79" spans="2:8">
      <c r="B79" s="1234" t="s">
        <v>5153</v>
      </c>
      <c r="C79" s="1106">
        <v>0</v>
      </c>
      <c r="D79" s="1106">
        <v>0</v>
      </c>
      <c r="E79" s="1107">
        <f t="shared" si="2"/>
        <v>0</v>
      </c>
      <c r="F79" s="1105">
        <v>0</v>
      </c>
      <c r="G79" s="1106">
        <v>0</v>
      </c>
      <c r="H79" s="1108">
        <f t="shared" si="3"/>
        <v>0</v>
      </c>
    </row>
    <row r="80" spans="2:8">
      <c r="B80" s="1234" t="s">
        <v>5154</v>
      </c>
      <c r="C80" s="1106">
        <v>0</v>
      </c>
      <c r="D80" s="1106">
        <v>0</v>
      </c>
      <c r="E80" s="1107">
        <f t="shared" ref="E80:E84" si="12">SUM(C80:D80)</f>
        <v>0</v>
      </c>
      <c r="F80" s="1105">
        <v>0</v>
      </c>
      <c r="G80" s="1106">
        <v>0</v>
      </c>
      <c r="H80" s="1108">
        <f t="shared" ref="H80:H84" si="13">SUM(E80-F80)</f>
        <v>0</v>
      </c>
    </row>
    <row r="81" spans="2:8">
      <c r="B81" s="1234" t="s">
        <v>5155</v>
      </c>
      <c r="C81" s="1106">
        <v>0</v>
      </c>
      <c r="D81" s="1106">
        <v>0</v>
      </c>
      <c r="E81" s="1107">
        <f t="shared" si="12"/>
        <v>0</v>
      </c>
      <c r="F81" s="1105">
        <v>0</v>
      </c>
      <c r="G81" s="1106">
        <v>0</v>
      </c>
      <c r="H81" s="1108">
        <f t="shared" si="13"/>
        <v>0</v>
      </c>
    </row>
    <row r="82" spans="2:8">
      <c r="B82" s="1234" t="s">
        <v>5156</v>
      </c>
      <c r="C82" s="1106">
        <v>0</v>
      </c>
      <c r="D82" s="1106">
        <v>0</v>
      </c>
      <c r="E82" s="1107">
        <f t="shared" si="12"/>
        <v>0</v>
      </c>
      <c r="F82" s="1105">
        <v>0</v>
      </c>
      <c r="G82" s="1106">
        <v>0</v>
      </c>
      <c r="H82" s="1108">
        <f t="shared" si="13"/>
        <v>0</v>
      </c>
    </row>
    <row r="83" spans="2:8">
      <c r="B83" s="1234" t="s">
        <v>5157</v>
      </c>
      <c r="C83" s="1106">
        <v>0</v>
      </c>
      <c r="D83" s="1106">
        <v>0</v>
      </c>
      <c r="E83" s="1107">
        <f t="shared" si="12"/>
        <v>0</v>
      </c>
      <c r="F83" s="1105">
        <v>0</v>
      </c>
      <c r="G83" s="1106">
        <v>0</v>
      </c>
      <c r="H83" s="1108">
        <f t="shared" si="13"/>
        <v>0</v>
      </c>
    </row>
    <row r="84" spans="2:8" ht="24.75" thickBot="1">
      <c r="B84" s="1234" t="s">
        <v>5158</v>
      </c>
      <c r="C84" s="1106">
        <v>0</v>
      </c>
      <c r="D84" s="1106">
        <v>0</v>
      </c>
      <c r="E84" s="1107">
        <f t="shared" si="12"/>
        <v>0</v>
      </c>
      <c r="F84" s="1105">
        <v>0</v>
      </c>
      <c r="G84" s="1106">
        <v>0</v>
      </c>
      <c r="H84" s="1108">
        <f t="shared" si="13"/>
        <v>0</v>
      </c>
    </row>
    <row r="85" spans="2:8" ht="24.75" customHeight="1">
      <c r="B85" s="1274" t="s">
        <v>5159</v>
      </c>
      <c r="C85" s="1275">
        <f>SUM(C86,C94,C104,C114,C124,C134,C138,C147,C151)</f>
        <v>0</v>
      </c>
      <c r="D85" s="1275">
        <f t="shared" ref="D85:H85" si="14">SUM(D86,D94,D104,D114,D124,D134,D138,D147,D151)</f>
        <v>0</v>
      </c>
      <c r="E85" s="1276">
        <f t="shared" si="14"/>
        <v>0</v>
      </c>
      <c r="F85" s="1275">
        <f t="shared" si="14"/>
        <v>0</v>
      </c>
      <c r="G85" s="1275">
        <f t="shared" si="14"/>
        <v>0</v>
      </c>
      <c r="H85" s="1276">
        <f t="shared" si="14"/>
        <v>0</v>
      </c>
    </row>
    <row r="86" spans="2:8">
      <c r="B86" s="1277" t="s">
        <v>5086</v>
      </c>
      <c r="C86" s="1269">
        <f>SUM(C87:C93)</f>
        <v>0</v>
      </c>
      <c r="D86" s="1269">
        <f t="shared" ref="D86:H86" si="15">SUM(D87:D93)</f>
        <v>0</v>
      </c>
      <c r="E86" s="1116">
        <f t="shared" si="15"/>
        <v>0</v>
      </c>
      <c r="F86" s="1269">
        <f t="shared" si="15"/>
        <v>0</v>
      </c>
      <c r="G86" s="1269">
        <f t="shared" si="15"/>
        <v>0</v>
      </c>
      <c r="H86" s="1116">
        <f t="shared" si="15"/>
        <v>0</v>
      </c>
    </row>
    <row r="87" spans="2:8" ht="24">
      <c r="B87" s="1234" t="s">
        <v>5087</v>
      </c>
      <c r="C87" s="1106">
        <v>0</v>
      </c>
      <c r="D87" s="1106">
        <v>0</v>
      </c>
      <c r="E87" s="1107">
        <f>SUM(C87:D87)</f>
        <v>0</v>
      </c>
      <c r="F87" s="1105">
        <v>0</v>
      </c>
      <c r="G87" s="1105">
        <v>0</v>
      </c>
      <c r="H87" s="1108">
        <f t="shared" ref="H87:H153" si="16">SUM(E87-F87)</f>
        <v>0</v>
      </c>
    </row>
    <row r="88" spans="2:8" ht="24.6" customHeight="1">
      <c r="B88" s="1234" t="s">
        <v>5088</v>
      </c>
      <c r="C88" s="1106">
        <v>0</v>
      </c>
      <c r="D88" s="1106">
        <v>0</v>
      </c>
      <c r="E88" s="1107">
        <f t="shared" ref="E88:E153" si="17">SUM(C88:D88)</f>
        <v>0</v>
      </c>
      <c r="F88" s="1105">
        <v>0</v>
      </c>
      <c r="G88" s="1105">
        <v>0</v>
      </c>
      <c r="H88" s="1108">
        <f>SUM(E88-F88)</f>
        <v>0</v>
      </c>
    </row>
    <row r="89" spans="2:8">
      <c r="B89" s="1234" t="s">
        <v>5089</v>
      </c>
      <c r="C89" s="1106">
        <v>0</v>
      </c>
      <c r="D89" s="1106">
        <v>0</v>
      </c>
      <c r="E89" s="1107">
        <f t="shared" si="17"/>
        <v>0</v>
      </c>
      <c r="F89" s="1105">
        <v>0</v>
      </c>
      <c r="G89" s="1105">
        <v>0</v>
      </c>
      <c r="H89" s="1108">
        <f t="shared" si="16"/>
        <v>0</v>
      </c>
    </row>
    <row r="90" spans="2:8">
      <c r="B90" s="1234" t="s">
        <v>5090</v>
      </c>
      <c r="C90" s="1106">
        <v>0</v>
      </c>
      <c r="D90" s="1106">
        <v>0</v>
      </c>
      <c r="E90" s="1107">
        <f t="shared" si="17"/>
        <v>0</v>
      </c>
      <c r="F90" s="1105">
        <v>0</v>
      </c>
      <c r="G90" s="1105">
        <v>0</v>
      </c>
      <c r="H90" s="1108">
        <f t="shared" si="16"/>
        <v>0</v>
      </c>
    </row>
    <row r="91" spans="2:8">
      <c r="B91" s="1234" t="s">
        <v>5091</v>
      </c>
      <c r="C91" s="1106">
        <v>0</v>
      </c>
      <c r="D91" s="1106">
        <v>0</v>
      </c>
      <c r="E91" s="1107">
        <f t="shared" si="17"/>
        <v>0</v>
      </c>
      <c r="F91" s="1105">
        <v>0</v>
      </c>
      <c r="G91" s="1105">
        <v>0</v>
      </c>
      <c r="H91" s="1108">
        <f t="shared" si="16"/>
        <v>0</v>
      </c>
    </row>
    <row r="92" spans="2:8">
      <c r="B92" s="1234" t="s">
        <v>5092</v>
      </c>
      <c r="C92" s="1106">
        <v>0</v>
      </c>
      <c r="D92" s="1106">
        <v>0</v>
      </c>
      <c r="E92" s="1107">
        <f t="shared" si="17"/>
        <v>0</v>
      </c>
      <c r="F92" s="1105">
        <v>0</v>
      </c>
      <c r="G92" s="1105">
        <v>0</v>
      </c>
      <c r="H92" s="1108">
        <f t="shared" si="16"/>
        <v>0</v>
      </c>
    </row>
    <row r="93" spans="2:8">
      <c r="B93" s="1234" t="s">
        <v>5093</v>
      </c>
      <c r="C93" s="1106">
        <v>0</v>
      </c>
      <c r="D93" s="1106">
        <v>0</v>
      </c>
      <c r="E93" s="1107">
        <f t="shared" si="17"/>
        <v>0</v>
      </c>
      <c r="F93" s="1105">
        <v>0</v>
      </c>
      <c r="G93" s="1105">
        <v>0</v>
      </c>
      <c r="H93" s="1108">
        <f t="shared" si="16"/>
        <v>0</v>
      </c>
    </row>
    <row r="94" spans="2:8" ht="24">
      <c r="B94" s="1278" t="s">
        <v>5094</v>
      </c>
      <c r="C94" s="1269">
        <f>SUM(C95:C103)</f>
        <v>0</v>
      </c>
      <c r="D94" s="1269">
        <f t="shared" ref="D94:H94" si="18">SUM(D95:D103)</f>
        <v>0</v>
      </c>
      <c r="E94" s="1116">
        <f t="shared" si="18"/>
        <v>0</v>
      </c>
      <c r="F94" s="1269">
        <f t="shared" si="18"/>
        <v>0</v>
      </c>
      <c r="G94" s="1269">
        <f t="shared" si="18"/>
        <v>0</v>
      </c>
      <c r="H94" s="1116">
        <f t="shared" si="18"/>
        <v>0</v>
      </c>
    </row>
    <row r="95" spans="2:8" ht="24">
      <c r="B95" s="1234" t="s">
        <v>5095</v>
      </c>
      <c r="C95" s="1106">
        <v>0</v>
      </c>
      <c r="D95" s="1106">
        <v>0</v>
      </c>
      <c r="E95" s="1107">
        <f t="shared" si="17"/>
        <v>0</v>
      </c>
      <c r="F95" s="1105">
        <v>0</v>
      </c>
      <c r="G95" s="1105">
        <v>0</v>
      </c>
      <c r="H95" s="1108">
        <f t="shared" si="16"/>
        <v>0</v>
      </c>
    </row>
    <row r="96" spans="2:8">
      <c r="B96" s="1234" t="s">
        <v>5096</v>
      </c>
      <c r="C96" s="1106">
        <v>0</v>
      </c>
      <c r="D96" s="1106">
        <v>0</v>
      </c>
      <c r="E96" s="1107">
        <f t="shared" si="17"/>
        <v>0</v>
      </c>
      <c r="F96" s="1105">
        <v>0</v>
      </c>
      <c r="G96" s="1105">
        <v>0</v>
      </c>
      <c r="H96" s="1108">
        <f t="shared" si="16"/>
        <v>0</v>
      </c>
    </row>
    <row r="97" spans="2:18" ht="24">
      <c r="B97" s="1234" t="s">
        <v>5097</v>
      </c>
      <c r="C97" s="1106">
        <v>0</v>
      </c>
      <c r="D97" s="1106">
        <v>0</v>
      </c>
      <c r="E97" s="1107">
        <f t="shared" si="17"/>
        <v>0</v>
      </c>
      <c r="F97" s="1105">
        <v>0</v>
      </c>
      <c r="G97" s="1105">
        <v>0</v>
      </c>
      <c r="H97" s="1108">
        <f t="shared" si="16"/>
        <v>0</v>
      </c>
    </row>
    <row r="98" spans="2:18" ht="24">
      <c r="B98" s="1234" t="s">
        <v>5098</v>
      </c>
      <c r="C98" s="1106">
        <v>0</v>
      </c>
      <c r="D98" s="1106">
        <v>0</v>
      </c>
      <c r="E98" s="1107">
        <f t="shared" si="17"/>
        <v>0</v>
      </c>
      <c r="F98" s="1105">
        <v>0</v>
      </c>
      <c r="G98" s="1105">
        <v>0</v>
      </c>
      <c r="H98" s="1108">
        <f t="shared" si="16"/>
        <v>0</v>
      </c>
    </row>
    <row r="99" spans="2:18" ht="24">
      <c r="B99" s="1234" t="s">
        <v>5099</v>
      </c>
      <c r="C99" s="1106">
        <v>0</v>
      </c>
      <c r="D99" s="1106">
        <v>0</v>
      </c>
      <c r="E99" s="1107">
        <f t="shared" si="17"/>
        <v>0</v>
      </c>
      <c r="F99" s="1105">
        <v>0</v>
      </c>
      <c r="G99" s="1105">
        <v>0</v>
      </c>
      <c r="H99" s="1108">
        <f t="shared" si="16"/>
        <v>0</v>
      </c>
      <c r="J99" s="1279"/>
    </row>
    <row r="100" spans="2:18">
      <c r="B100" s="1234" t="s">
        <v>5100</v>
      </c>
      <c r="C100" s="1106">
        <v>0</v>
      </c>
      <c r="D100" s="1106">
        <v>0</v>
      </c>
      <c r="E100" s="1107">
        <f t="shared" si="17"/>
        <v>0</v>
      </c>
      <c r="F100" s="1105">
        <v>0</v>
      </c>
      <c r="G100" s="1105">
        <v>0</v>
      </c>
      <c r="H100" s="1108">
        <f t="shared" si="16"/>
        <v>0</v>
      </c>
      <c r="R100" s="1101"/>
    </row>
    <row r="101" spans="2:18" ht="24">
      <c r="B101" s="1234" t="s">
        <v>5101</v>
      </c>
      <c r="C101" s="1106">
        <v>0</v>
      </c>
      <c r="D101" s="1106">
        <v>0</v>
      </c>
      <c r="E101" s="1107">
        <f t="shared" si="17"/>
        <v>0</v>
      </c>
      <c r="F101" s="1105">
        <v>0</v>
      </c>
      <c r="G101" s="1105">
        <v>0</v>
      </c>
      <c r="H101" s="1108">
        <f t="shared" si="16"/>
        <v>0</v>
      </c>
    </row>
    <row r="102" spans="2:18" ht="12.6" customHeight="1">
      <c r="B102" s="1234" t="s">
        <v>5102</v>
      </c>
      <c r="C102" s="1106">
        <v>0</v>
      </c>
      <c r="D102" s="1106">
        <v>0</v>
      </c>
      <c r="E102" s="1107">
        <f t="shared" si="17"/>
        <v>0</v>
      </c>
      <c r="F102" s="1105">
        <v>0</v>
      </c>
      <c r="G102" s="1105">
        <v>0</v>
      </c>
      <c r="H102" s="1108">
        <f t="shared" si="16"/>
        <v>0</v>
      </c>
    </row>
    <row r="103" spans="2:18" ht="24.6" customHeight="1">
      <c r="B103" s="1234" t="s">
        <v>5103</v>
      </c>
      <c r="C103" s="1106">
        <v>0</v>
      </c>
      <c r="D103" s="1106">
        <v>0</v>
      </c>
      <c r="E103" s="1107">
        <f t="shared" si="17"/>
        <v>0</v>
      </c>
      <c r="F103" s="1105">
        <v>0</v>
      </c>
      <c r="G103" s="1105">
        <v>0</v>
      </c>
      <c r="H103" s="1108">
        <f t="shared" si="16"/>
        <v>0</v>
      </c>
    </row>
    <row r="104" spans="2:18" ht="24">
      <c r="B104" s="1278" t="s">
        <v>5104</v>
      </c>
      <c r="C104" s="1269">
        <f>SUM(C105:C113)</f>
        <v>0</v>
      </c>
      <c r="D104" s="1269">
        <f t="shared" ref="D104:H104" si="19">SUM(D105:D113)</f>
        <v>0</v>
      </c>
      <c r="E104" s="1116">
        <f t="shared" si="19"/>
        <v>0</v>
      </c>
      <c r="F104" s="1269">
        <f t="shared" si="19"/>
        <v>0</v>
      </c>
      <c r="G104" s="1269">
        <f t="shared" si="19"/>
        <v>0</v>
      </c>
      <c r="H104" s="1116">
        <f t="shared" si="19"/>
        <v>0</v>
      </c>
    </row>
    <row r="105" spans="2:18">
      <c r="B105" s="1234" t="s">
        <v>5105</v>
      </c>
      <c r="C105" s="1106">
        <v>0</v>
      </c>
      <c r="D105" s="1106">
        <v>0</v>
      </c>
      <c r="E105" s="1107">
        <f t="shared" si="17"/>
        <v>0</v>
      </c>
      <c r="F105" s="1105">
        <v>0</v>
      </c>
      <c r="G105" s="1105">
        <v>0</v>
      </c>
      <c r="H105" s="1108">
        <f t="shared" si="16"/>
        <v>0</v>
      </c>
    </row>
    <row r="106" spans="2:18">
      <c r="B106" s="1234" t="s">
        <v>5106</v>
      </c>
      <c r="C106" s="1106">
        <v>0</v>
      </c>
      <c r="D106" s="1106">
        <v>0</v>
      </c>
      <c r="E106" s="1107">
        <f t="shared" si="17"/>
        <v>0</v>
      </c>
      <c r="F106" s="1105">
        <v>0</v>
      </c>
      <c r="G106" s="1105">
        <v>0</v>
      </c>
      <c r="H106" s="1108">
        <f t="shared" si="16"/>
        <v>0</v>
      </c>
    </row>
    <row r="107" spans="2:18" ht="24">
      <c r="B107" s="1234" t="s">
        <v>5107</v>
      </c>
      <c r="C107" s="1106">
        <v>0</v>
      </c>
      <c r="D107" s="1106">
        <v>0</v>
      </c>
      <c r="E107" s="1107">
        <f t="shared" si="17"/>
        <v>0</v>
      </c>
      <c r="F107" s="1105">
        <v>0</v>
      </c>
      <c r="G107" s="1105">
        <v>0</v>
      </c>
      <c r="H107" s="1108">
        <f t="shared" si="16"/>
        <v>0</v>
      </c>
    </row>
    <row r="108" spans="2:18" ht="24">
      <c r="B108" s="1234" t="s">
        <v>5108</v>
      </c>
      <c r="C108" s="1106">
        <v>0</v>
      </c>
      <c r="D108" s="1106">
        <v>0</v>
      </c>
      <c r="E108" s="1107">
        <f t="shared" si="17"/>
        <v>0</v>
      </c>
      <c r="F108" s="1105">
        <v>0</v>
      </c>
      <c r="G108" s="1105">
        <v>0</v>
      </c>
      <c r="H108" s="1108">
        <f t="shared" si="16"/>
        <v>0</v>
      </c>
    </row>
    <row r="109" spans="2:18" ht="24">
      <c r="B109" s="1234" t="s">
        <v>5109</v>
      </c>
      <c r="C109" s="1106">
        <v>0</v>
      </c>
      <c r="D109" s="1106">
        <v>0</v>
      </c>
      <c r="E109" s="1107">
        <f t="shared" si="17"/>
        <v>0</v>
      </c>
      <c r="F109" s="1105">
        <v>0</v>
      </c>
      <c r="G109" s="1105">
        <v>0</v>
      </c>
      <c r="H109" s="1108">
        <f t="shared" si="16"/>
        <v>0</v>
      </c>
    </row>
    <row r="110" spans="2:18" ht="24">
      <c r="B110" s="1234" t="s">
        <v>5110</v>
      </c>
      <c r="C110" s="1106">
        <v>0</v>
      </c>
      <c r="D110" s="1106">
        <v>0</v>
      </c>
      <c r="E110" s="1107">
        <f t="shared" si="17"/>
        <v>0</v>
      </c>
      <c r="F110" s="1105">
        <v>0</v>
      </c>
      <c r="G110" s="1105">
        <v>0</v>
      </c>
      <c r="H110" s="1108">
        <f t="shared" si="16"/>
        <v>0</v>
      </c>
    </row>
    <row r="111" spans="2:18">
      <c r="B111" s="1234" t="s">
        <v>5111</v>
      </c>
      <c r="C111" s="1106">
        <v>0</v>
      </c>
      <c r="D111" s="1106">
        <v>0</v>
      </c>
      <c r="E111" s="1107">
        <f t="shared" si="17"/>
        <v>0</v>
      </c>
      <c r="F111" s="1105">
        <v>0</v>
      </c>
      <c r="G111" s="1105">
        <v>0</v>
      </c>
      <c r="H111" s="1108">
        <f t="shared" si="16"/>
        <v>0</v>
      </c>
    </row>
    <row r="112" spans="2:18">
      <c r="B112" s="1234" t="s">
        <v>5112</v>
      </c>
      <c r="C112" s="1106">
        <v>0</v>
      </c>
      <c r="D112" s="1106">
        <v>0</v>
      </c>
      <c r="E112" s="1107">
        <f t="shared" si="17"/>
        <v>0</v>
      </c>
      <c r="F112" s="1105">
        <v>0</v>
      </c>
      <c r="G112" s="1105">
        <v>0</v>
      </c>
      <c r="H112" s="1108">
        <f t="shared" si="16"/>
        <v>0</v>
      </c>
      <c r="J112" s="1279"/>
    </row>
    <row r="113" spans="2:8">
      <c r="B113" s="1234" t="s">
        <v>5113</v>
      </c>
      <c r="C113" s="1106">
        <v>0</v>
      </c>
      <c r="D113" s="1106">
        <v>0</v>
      </c>
      <c r="E113" s="1107">
        <f t="shared" si="17"/>
        <v>0</v>
      </c>
      <c r="F113" s="1105">
        <v>0</v>
      </c>
      <c r="G113" s="1105">
        <v>0</v>
      </c>
      <c r="H113" s="1108">
        <f t="shared" si="16"/>
        <v>0</v>
      </c>
    </row>
    <row r="114" spans="2:8" ht="29.25" customHeight="1">
      <c r="B114" s="1278" t="s">
        <v>5114</v>
      </c>
      <c r="C114" s="1269">
        <f>SUM(C115:C123)</f>
        <v>0</v>
      </c>
      <c r="D114" s="1269">
        <f t="shared" ref="D114:H114" si="20">SUM(D115:D123)</f>
        <v>0</v>
      </c>
      <c r="E114" s="1116">
        <f t="shared" si="20"/>
        <v>0</v>
      </c>
      <c r="F114" s="1269">
        <f t="shared" si="20"/>
        <v>0</v>
      </c>
      <c r="G114" s="1269">
        <f t="shared" si="20"/>
        <v>0</v>
      </c>
      <c r="H114" s="1116">
        <f t="shared" si="20"/>
        <v>0</v>
      </c>
    </row>
    <row r="115" spans="2:8" ht="24">
      <c r="B115" s="1234" t="s">
        <v>5115</v>
      </c>
      <c r="C115" s="1106">
        <v>0</v>
      </c>
      <c r="D115" s="1106">
        <v>0</v>
      </c>
      <c r="E115" s="1107">
        <f t="shared" si="17"/>
        <v>0</v>
      </c>
      <c r="F115" s="1105">
        <v>0</v>
      </c>
      <c r="G115" s="1105">
        <v>0</v>
      </c>
      <c r="H115" s="1108">
        <f t="shared" si="16"/>
        <v>0</v>
      </c>
    </row>
    <row r="116" spans="2:8">
      <c r="B116" s="1234" t="s">
        <v>5116</v>
      </c>
      <c r="C116" s="1106">
        <v>0</v>
      </c>
      <c r="D116" s="1106">
        <v>0</v>
      </c>
      <c r="E116" s="1107">
        <f t="shared" si="17"/>
        <v>0</v>
      </c>
      <c r="F116" s="1105">
        <v>0</v>
      </c>
      <c r="G116" s="1105">
        <v>0</v>
      </c>
      <c r="H116" s="1108">
        <f t="shared" si="16"/>
        <v>0</v>
      </c>
    </row>
    <row r="117" spans="2:8">
      <c r="B117" s="1234" t="s">
        <v>5117</v>
      </c>
      <c r="C117" s="1106">
        <v>0</v>
      </c>
      <c r="D117" s="1106">
        <v>0</v>
      </c>
      <c r="E117" s="1107">
        <f t="shared" si="17"/>
        <v>0</v>
      </c>
      <c r="F117" s="1105">
        <v>0</v>
      </c>
      <c r="G117" s="1105">
        <v>0</v>
      </c>
      <c r="H117" s="1108">
        <f t="shared" si="16"/>
        <v>0</v>
      </c>
    </row>
    <row r="118" spans="2:8">
      <c r="B118" s="1234" t="s">
        <v>5118</v>
      </c>
      <c r="C118" s="1106">
        <v>0</v>
      </c>
      <c r="D118" s="1106">
        <v>0</v>
      </c>
      <c r="E118" s="1107">
        <f t="shared" si="17"/>
        <v>0</v>
      </c>
      <c r="F118" s="1105">
        <v>0</v>
      </c>
      <c r="G118" s="1105">
        <v>0</v>
      </c>
      <c r="H118" s="1108">
        <f t="shared" si="16"/>
        <v>0</v>
      </c>
    </row>
    <row r="119" spans="2:8">
      <c r="B119" s="1234" t="s">
        <v>5119</v>
      </c>
      <c r="C119" s="1106">
        <v>0</v>
      </c>
      <c r="D119" s="1106">
        <v>0</v>
      </c>
      <c r="E119" s="1107">
        <f t="shared" si="17"/>
        <v>0</v>
      </c>
      <c r="F119" s="1105">
        <v>0</v>
      </c>
      <c r="G119" s="1105">
        <v>0</v>
      </c>
      <c r="H119" s="1108">
        <f t="shared" si="16"/>
        <v>0</v>
      </c>
    </row>
    <row r="120" spans="2:8" ht="24">
      <c r="B120" s="1234" t="s">
        <v>5120</v>
      </c>
      <c r="C120" s="1106">
        <v>0</v>
      </c>
      <c r="D120" s="1106">
        <v>0</v>
      </c>
      <c r="E120" s="1107">
        <f t="shared" si="17"/>
        <v>0</v>
      </c>
      <c r="F120" s="1105">
        <v>0</v>
      </c>
      <c r="G120" s="1105">
        <v>0</v>
      </c>
      <c r="H120" s="1108">
        <f t="shared" si="16"/>
        <v>0</v>
      </c>
    </row>
    <row r="121" spans="2:8">
      <c r="B121" s="1234" t="s">
        <v>5121</v>
      </c>
      <c r="C121" s="1106">
        <v>0</v>
      </c>
      <c r="D121" s="1106">
        <v>0</v>
      </c>
      <c r="E121" s="1107">
        <f t="shared" si="17"/>
        <v>0</v>
      </c>
      <c r="F121" s="1105">
        <v>0</v>
      </c>
      <c r="G121" s="1105">
        <v>0</v>
      </c>
      <c r="H121" s="1108">
        <f t="shared" si="16"/>
        <v>0</v>
      </c>
    </row>
    <row r="122" spans="2:8">
      <c r="B122" s="1234" t="s">
        <v>5122</v>
      </c>
      <c r="C122" s="1106">
        <v>0</v>
      </c>
      <c r="D122" s="1106">
        <v>0</v>
      </c>
      <c r="E122" s="1107">
        <f t="shared" si="17"/>
        <v>0</v>
      </c>
      <c r="F122" s="1105">
        <v>0</v>
      </c>
      <c r="G122" s="1105">
        <v>0</v>
      </c>
      <c r="H122" s="1108">
        <f t="shared" si="16"/>
        <v>0</v>
      </c>
    </row>
    <row r="123" spans="2:8">
      <c r="B123" s="1234" t="s">
        <v>5123</v>
      </c>
      <c r="C123" s="1106">
        <v>0</v>
      </c>
      <c r="D123" s="1106">
        <v>0</v>
      </c>
      <c r="E123" s="1107">
        <f t="shared" si="17"/>
        <v>0</v>
      </c>
      <c r="F123" s="1105">
        <v>0</v>
      </c>
      <c r="G123" s="1105">
        <v>0</v>
      </c>
      <c r="H123" s="1108">
        <f t="shared" si="16"/>
        <v>0</v>
      </c>
    </row>
    <row r="124" spans="2:8" ht="24" customHeight="1">
      <c r="B124" s="1278" t="s">
        <v>5124</v>
      </c>
      <c r="C124" s="1269">
        <f>SUM(C125:C133)</f>
        <v>0</v>
      </c>
      <c r="D124" s="1269">
        <f t="shared" ref="D124:H124" si="21">SUM(D125:D133)</f>
        <v>0</v>
      </c>
      <c r="E124" s="1116">
        <f t="shared" si="21"/>
        <v>0</v>
      </c>
      <c r="F124" s="1269">
        <f t="shared" si="21"/>
        <v>0</v>
      </c>
      <c r="G124" s="1269">
        <f t="shared" si="21"/>
        <v>0</v>
      </c>
      <c r="H124" s="1116">
        <f t="shared" si="21"/>
        <v>0</v>
      </c>
    </row>
    <row r="125" spans="2:8">
      <c r="B125" s="1234" t="s">
        <v>5125</v>
      </c>
      <c r="C125" s="1106">
        <v>0</v>
      </c>
      <c r="D125" s="1106">
        <v>0</v>
      </c>
      <c r="E125" s="1107">
        <f t="shared" si="17"/>
        <v>0</v>
      </c>
      <c r="F125" s="1105">
        <v>0</v>
      </c>
      <c r="G125" s="1105">
        <v>0</v>
      </c>
      <c r="H125" s="1108">
        <f t="shared" si="16"/>
        <v>0</v>
      </c>
    </row>
    <row r="126" spans="2:8">
      <c r="B126" s="1234" t="s">
        <v>5126</v>
      </c>
      <c r="C126" s="1106">
        <v>0</v>
      </c>
      <c r="D126" s="1106">
        <v>0</v>
      </c>
      <c r="E126" s="1107">
        <f t="shared" si="17"/>
        <v>0</v>
      </c>
      <c r="F126" s="1105">
        <v>0</v>
      </c>
      <c r="G126" s="1105">
        <v>0</v>
      </c>
      <c r="H126" s="1108">
        <f t="shared" si="16"/>
        <v>0</v>
      </c>
    </row>
    <row r="127" spans="2:8" ht="24">
      <c r="B127" s="1234" t="s">
        <v>5127</v>
      </c>
      <c r="C127" s="1106">
        <v>0</v>
      </c>
      <c r="D127" s="1106">
        <v>0</v>
      </c>
      <c r="E127" s="1107">
        <f t="shared" si="17"/>
        <v>0</v>
      </c>
      <c r="F127" s="1105">
        <v>0</v>
      </c>
      <c r="G127" s="1105">
        <v>0</v>
      </c>
      <c r="H127" s="1108">
        <f t="shared" si="16"/>
        <v>0</v>
      </c>
    </row>
    <row r="128" spans="2:8">
      <c r="B128" s="1234" t="s">
        <v>5128</v>
      </c>
      <c r="C128" s="1106">
        <v>0</v>
      </c>
      <c r="D128" s="1106">
        <v>0</v>
      </c>
      <c r="E128" s="1107">
        <f t="shared" si="17"/>
        <v>0</v>
      </c>
      <c r="F128" s="1105">
        <v>0</v>
      </c>
      <c r="G128" s="1105">
        <v>0</v>
      </c>
      <c r="H128" s="1108">
        <f t="shared" si="16"/>
        <v>0</v>
      </c>
    </row>
    <row r="129" spans="2:8">
      <c r="B129" s="1234" t="s">
        <v>5129</v>
      </c>
      <c r="C129" s="1106">
        <v>0</v>
      </c>
      <c r="D129" s="1106">
        <v>0</v>
      </c>
      <c r="E129" s="1107">
        <f t="shared" si="17"/>
        <v>0</v>
      </c>
      <c r="F129" s="1105">
        <v>0</v>
      </c>
      <c r="G129" s="1105">
        <v>0</v>
      </c>
      <c r="H129" s="1108">
        <f t="shared" si="16"/>
        <v>0</v>
      </c>
    </row>
    <row r="130" spans="2:8">
      <c r="B130" s="1234" t="s">
        <v>5130</v>
      </c>
      <c r="C130" s="1106">
        <v>0</v>
      </c>
      <c r="D130" s="1106">
        <v>0</v>
      </c>
      <c r="E130" s="1107">
        <f t="shared" si="17"/>
        <v>0</v>
      </c>
      <c r="F130" s="1105">
        <v>0</v>
      </c>
      <c r="G130" s="1105">
        <v>0</v>
      </c>
      <c r="H130" s="1108">
        <f t="shared" si="16"/>
        <v>0</v>
      </c>
    </row>
    <row r="131" spans="2:8">
      <c r="B131" s="1234" t="s">
        <v>5131</v>
      </c>
      <c r="C131" s="1106">
        <v>0</v>
      </c>
      <c r="D131" s="1106">
        <v>0</v>
      </c>
      <c r="E131" s="1107">
        <f t="shared" si="17"/>
        <v>0</v>
      </c>
      <c r="F131" s="1105">
        <v>0</v>
      </c>
      <c r="G131" s="1106">
        <v>0</v>
      </c>
      <c r="H131" s="1108">
        <f t="shared" si="16"/>
        <v>0</v>
      </c>
    </row>
    <row r="132" spans="2:8">
      <c r="B132" s="1234" t="s">
        <v>5132</v>
      </c>
      <c r="C132" s="1106">
        <v>0</v>
      </c>
      <c r="D132" s="1106">
        <v>0</v>
      </c>
      <c r="E132" s="1107">
        <f t="shared" si="17"/>
        <v>0</v>
      </c>
      <c r="F132" s="1105">
        <v>0</v>
      </c>
      <c r="G132" s="1106">
        <v>0</v>
      </c>
      <c r="H132" s="1108">
        <f t="shared" si="16"/>
        <v>0</v>
      </c>
    </row>
    <row r="133" spans="2:8">
      <c r="B133" s="1234" t="s">
        <v>5133</v>
      </c>
      <c r="C133" s="1106">
        <v>0</v>
      </c>
      <c r="D133" s="1106">
        <v>0</v>
      </c>
      <c r="E133" s="1107">
        <f t="shared" si="17"/>
        <v>0</v>
      </c>
      <c r="F133" s="1105">
        <v>0</v>
      </c>
      <c r="G133" s="1106">
        <v>0</v>
      </c>
      <c r="H133" s="1108">
        <f t="shared" si="16"/>
        <v>0</v>
      </c>
    </row>
    <row r="134" spans="2:8">
      <c r="B134" s="1277" t="s">
        <v>5134</v>
      </c>
      <c r="C134" s="1269">
        <f>SUM(C135:C137)</f>
        <v>0</v>
      </c>
      <c r="D134" s="1269">
        <f t="shared" ref="D134:H134" si="22">SUM(D135:D137)</f>
        <v>0</v>
      </c>
      <c r="E134" s="1116">
        <f t="shared" si="22"/>
        <v>0</v>
      </c>
      <c r="F134" s="1269">
        <f t="shared" si="22"/>
        <v>0</v>
      </c>
      <c r="G134" s="1269">
        <f t="shared" si="22"/>
        <v>0</v>
      </c>
      <c r="H134" s="1116">
        <f t="shared" si="22"/>
        <v>0</v>
      </c>
    </row>
    <row r="135" spans="2:8">
      <c r="B135" s="1234" t="s">
        <v>5135</v>
      </c>
      <c r="C135" s="1106">
        <v>0</v>
      </c>
      <c r="D135" s="1105">
        <v>0</v>
      </c>
      <c r="E135" s="1107">
        <f t="shared" si="17"/>
        <v>0</v>
      </c>
      <c r="F135" s="1105">
        <v>0</v>
      </c>
      <c r="G135" s="1105">
        <v>0</v>
      </c>
      <c r="H135" s="1108">
        <f t="shared" si="16"/>
        <v>0</v>
      </c>
    </row>
    <row r="136" spans="2:8">
      <c r="B136" s="1234" t="s">
        <v>5136</v>
      </c>
      <c r="C136" s="1106">
        <v>0</v>
      </c>
      <c r="D136" s="1105">
        <v>0</v>
      </c>
      <c r="E136" s="1107">
        <f t="shared" si="17"/>
        <v>0</v>
      </c>
      <c r="F136" s="1105">
        <v>0</v>
      </c>
      <c r="G136" s="1105">
        <v>0</v>
      </c>
      <c r="H136" s="1108">
        <f t="shared" si="16"/>
        <v>0</v>
      </c>
    </row>
    <row r="137" spans="2:8" ht="24">
      <c r="B137" s="1234" t="s">
        <v>5137</v>
      </c>
      <c r="C137" s="1106">
        <v>0</v>
      </c>
      <c r="D137" s="1105">
        <v>0</v>
      </c>
      <c r="E137" s="1107">
        <f t="shared" si="17"/>
        <v>0</v>
      </c>
      <c r="F137" s="1105">
        <v>0</v>
      </c>
      <c r="G137" s="1105">
        <v>0</v>
      </c>
      <c r="H137" s="1108">
        <f t="shared" si="16"/>
        <v>0</v>
      </c>
    </row>
    <row r="138" spans="2:8" ht="12" customHeight="1">
      <c r="B138" s="1278" t="s">
        <v>5138</v>
      </c>
      <c r="C138" s="1269">
        <f>SUM(C139:C146)</f>
        <v>0</v>
      </c>
      <c r="D138" s="1269">
        <f t="shared" ref="D138:H138" si="23">SUM(D139:D146)</f>
        <v>0</v>
      </c>
      <c r="E138" s="1116">
        <f t="shared" si="23"/>
        <v>0</v>
      </c>
      <c r="F138" s="1269">
        <f t="shared" si="23"/>
        <v>0</v>
      </c>
      <c r="G138" s="1269">
        <f t="shared" si="23"/>
        <v>0</v>
      </c>
      <c r="H138" s="1116">
        <f t="shared" si="23"/>
        <v>0</v>
      </c>
    </row>
    <row r="139" spans="2:8" ht="24">
      <c r="B139" s="1234" t="s">
        <v>5139</v>
      </c>
      <c r="C139" s="1106">
        <v>0</v>
      </c>
      <c r="D139" s="1105">
        <v>0</v>
      </c>
      <c r="E139" s="1107">
        <f t="shared" si="17"/>
        <v>0</v>
      </c>
      <c r="F139" s="1105">
        <v>0</v>
      </c>
      <c r="G139" s="1105">
        <v>0</v>
      </c>
      <c r="H139" s="1108">
        <f t="shared" si="16"/>
        <v>0</v>
      </c>
    </row>
    <row r="140" spans="2:8">
      <c r="B140" s="1234" t="s">
        <v>5140</v>
      </c>
      <c r="C140" s="1106">
        <v>0</v>
      </c>
      <c r="D140" s="1105">
        <v>0</v>
      </c>
      <c r="E140" s="1107">
        <f t="shared" si="17"/>
        <v>0</v>
      </c>
      <c r="F140" s="1105">
        <v>0</v>
      </c>
      <c r="G140" s="1105">
        <v>0</v>
      </c>
      <c r="H140" s="1108">
        <f t="shared" si="16"/>
        <v>0</v>
      </c>
    </row>
    <row r="141" spans="2:8">
      <c r="B141" s="1234" t="s">
        <v>5141</v>
      </c>
      <c r="C141" s="1106">
        <v>0</v>
      </c>
      <c r="D141" s="1105">
        <v>0</v>
      </c>
      <c r="E141" s="1107">
        <f t="shared" si="17"/>
        <v>0</v>
      </c>
      <c r="F141" s="1105">
        <v>0</v>
      </c>
      <c r="G141" s="1105">
        <v>0</v>
      </c>
      <c r="H141" s="1108">
        <f t="shared" si="16"/>
        <v>0</v>
      </c>
    </row>
    <row r="142" spans="2:8">
      <c r="B142" s="1234" t="s">
        <v>5142</v>
      </c>
      <c r="C142" s="1106">
        <v>0</v>
      </c>
      <c r="D142" s="1105">
        <v>0</v>
      </c>
      <c r="E142" s="1107">
        <f t="shared" si="17"/>
        <v>0</v>
      </c>
      <c r="F142" s="1105">
        <v>0</v>
      </c>
      <c r="G142" s="1105">
        <v>0</v>
      </c>
      <c r="H142" s="1108">
        <f t="shared" si="16"/>
        <v>0</v>
      </c>
    </row>
    <row r="143" spans="2:8" ht="24">
      <c r="B143" s="1234" t="s">
        <v>5143</v>
      </c>
      <c r="C143" s="1106">
        <v>0</v>
      </c>
      <c r="D143" s="1105">
        <v>0</v>
      </c>
      <c r="E143" s="1107">
        <f t="shared" si="17"/>
        <v>0</v>
      </c>
      <c r="F143" s="1105">
        <v>0</v>
      </c>
      <c r="G143" s="1105">
        <v>0</v>
      </c>
      <c r="H143" s="1108">
        <f t="shared" si="16"/>
        <v>0</v>
      </c>
    </row>
    <row r="144" spans="2:8" ht="24">
      <c r="B144" s="1234" t="s">
        <v>5144</v>
      </c>
      <c r="C144" s="1106">
        <v>0</v>
      </c>
      <c r="D144" s="1105">
        <v>0</v>
      </c>
      <c r="E144" s="1107">
        <f t="shared" si="17"/>
        <v>0</v>
      </c>
      <c r="F144" s="1105">
        <v>0</v>
      </c>
      <c r="G144" s="1105">
        <v>0</v>
      </c>
      <c r="H144" s="1108">
        <f t="shared" si="16"/>
        <v>0</v>
      </c>
    </row>
    <row r="145" spans="2:8">
      <c r="B145" s="1234" t="s">
        <v>5145</v>
      </c>
      <c r="C145" s="1106">
        <v>0</v>
      </c>
      <c r="D145" s="1105">
        <v>0</v>
      </c>
      <c r="E145" s="1107">
        <f t="shared" si="17"/>
        <v>0</v>
      </c>
      <c r="F145" s="1105">
        <v>0</v>
      </c>
      <c r="G145" s="1105">
        <v>0</v>
      </c>
      <c r="H145" s="1108">
        <f t="shared" si="16"/>
        <v>0</v>
      </c>
    </row>
    <row r="146" spans="2:8" ht="24">
      <c r="B146" s="1234" t="s">
        <v>5146</v>
      </c>
      <c r="C146" s="1106">
        <v>0</v>
      </c>
      <c r="D146" s="1105">
        <v>0</v>
      </c>
      <c r="E146" s="1107">
        <f t="shared" si="17"/>
        <v>0</v>
      </c>
      <c r="F146" s="1105">
        <v>0</v>
      </c>
      <c r="G146" s="1105">
        <v>0</v>
      </c>
      <c r="H146" s="1108">
        <f t="shared" si="16"/>
        <v>0</v>
      </c>
    </row>
    <row r="147" spans="2:8">
      <c r="B147" s="1277" t="s">
        <v>5147</v>
      </c>
      <c r="C147" s="1269">
        <f>SUM(C148:C150)</f>
        <v>0</v>
      </c>
      <c r="D147" s="1269">
        <f t="shared" ref="D147:H147" si="24">SUM(D148:D150)</f>
        <v>0</v>
      </c>
      <c r="E147" s="1116">
        <f t="shared" si="24"/>
        <v>0</v>
      </c>
      <c r="F147" s="1269">
        <f t="shared" si="24"/>
        <v>0</v>
      </c>
      <c r="G147" s="1269">
        <f t="shared" si="24"/>
        <v>0</v>
      </c>
      <c r="H147" s="1116">
        <f t="shared" si="24"/>
        <v>0</v>
      </c>
    </row>
    <row r="148" spans="2:8">
      <c r="B148" s="1273" t="s">
        <v>5148</v>
      </c>
      <c r="C148" s="1106">
        <v>0</v>
      </c>
      <c r="D148" s="1105">
        <v>0</v>
      </c>
      <c r="E148" s="1107">
        <f t="shared" si="17"/>
        <v>0</v>
      </c>
      <c r="F148" s="1105">
        <v>0</v>
      </c>
      <c r="G148" s="1105">
        <v>0</v>
      </c>
      <c r="H148" s="1108">
        <f t="shared" si="16"/>
        <v>0</v>
      </c>
    </row>
    <row r="149" spans="2:8">
      <c r="B149" s="1273" t="s">
        <v>5149</v>
      </c>
      <c r="C149" s="1106">
        <v>0</v>
      </c>
      <c r="D149" s="1105">
        <v>0</v>
      </c>
      <c r="E149" s="1107">
        <f t="shared" si="17"/>
        <v>0</v>
      </c>
      <c r="F149" s="1105">
        <v>0</v>
      </c>
      <c r="G149" s="1105">
        <v>0</v>
      </c>
      <c r="H149" s="1108">
        <f t="shared" si="16"/>
        <v>0</v>
      </c>
    </row>
    <row r="150" spans="2:8">
      <c r="B150" s="1273" t="s">
        <v>5150</v>
      </c>
      <c r="C150" s="1106">
        <v>0</v>
      </c>
      <c r="D150" s="1105">
        <v>0</v>
      </c>
      <c r="E150" s="1107">
        <f t="shared" si="17"/>
        <v>0</v>
      </c>
      <c r="F150" s="1105">
        <v>0</v>
      </c>
      <c r="G150" s="1105">
        <v>0</v>
      </c>
      <c r="H150" s="1108">
        <f t="shared" si="16"/>
        <v>0</v>
      </c>
    </row>
    <row r="151" spans="2:8">
      <c r="B151" s="1277" t="s">
        <v>5151</v>
      </c>
      <c r="C151" s="1269">
        <f>SUM(C152:C158)</f>
        <v>0</v>
      </c>
      <c r="D151" s="1269">
        <f t="shared" ref="D151:H151" si="25">SUM(D152:D158)</f>
        <v>0</v>
      </c>
      <c r="E151" s="1116">
        <f t="shared" si="25"/>
        <v>0</v>
      </c>
      <c r="F151" s="1269">
        <f t="shared" si="25"/>
        <v>0</v>
      </c>
      <c r="G151" s="1269">
        <f t="shared" si="25"/>
        <v>0</v>
      </c>
      <c r="H151" s="1116">
        <f t="shared" si="25"/>
        <v>0</v>
      </c>
    </row>
    <row r="152" spans="2:8">
      <c r="B152" s="1234" t="s">
        <v>5152</v>
      </c>
      <c r="C152" s="1106">
        <v>0</v>
      </c>
      <c r="D152" s="1105">
        <v>0</v>
      </c>
      <c r="E152" s="1107">
        <f t="shared" si="17"/>
        <v>0</v>
      </c>
      <c r="F152" s="1105">
        <v>0</v>
      </c>
      <c r="G152" s="1105">
        <v>0</v>
      </c>
      <c r="H152" s="1108">
        <f t="shared" si="16"/>
        <v>0</v>
      </c>
    </row>
    <row r="153" spans="2:8">
      <c r="B153" s="1234" t="s">
        <v>5153</v>
      </c>
      <c r="C153" s="1106">
        <v>0</v>
      </c>
      <c r="D153" s="1105">
        <v>0</v>
      </c>
      <c r="E153" s="1107">
        <f t="shared" si="17"/>
        <v>0</v>
      </c>
      <c r="F153" s="1105">
        <v>0</v>
      </c>
      <c r="G153" s="1105">
        <v>0</v>
      </c>
      <c r="H153" s="1108">
        <f t="shared" si="16"/>
        <v>0</v>
      </c>
    </row>
    <row r="154" spans="2:8">
      <c r="B154" s="1234" t="s">
        <v>5154</v>
      </c>
      <c r="C154" s="1106">
        <v>0</v>
      </c>
      <c r="D154" s="1105">
        <v>0</v>
      </c>
      <c r="E154" s="1107">
        <f t="shared" ref="E154:E158" si="26">SUM(C154:D154)</f>
        <v>0</v>
      </c>
      <c r="F154" s="1105">
        <v>0</v>
      </c>
      <c r="G154" s="1105">
        <v>0</v>
      </c>
      <c r="H154" s="1108">
        <f t="shared" ref="H154:H158" si="27">SUM(E154-F154)</f>
        <v>0</v>
      </c>
    </row>
    <row r="155" spans="2:8">
      <c r="B155" s="1234" t="s">
        <v>5155</v>
      </c>
      <c r="C155" s="1106">
        <v>0</v>
      </c>
      <c r="D155" s="1105">
        <v>0</v>
      </c>
      <c r="E155" s="1107">
        <f t="shared" si="26"/>
        <v>0</v>
      </c>
      <c r="F155" s="1105">
        <v>0</v>
      </c>
      <c r="G155" s="1105">
        <v>0</v>
      </c>
      <c r="H155" s="1108">
        <f t="shared" si="27"/>
        <v>0</v>
      </c>
    </row>
    <row r="156" spans="2:8">
      <c r="B156" s="1234" t="s">
        <v>5156</v>
      </c>
      <c r="C156" s="1106">
        <v>0</v>
      </c>
      <c r="D156" s="1105">
        <v>0</v>
      </c>
      <c r="E156" s="1107">
        <f t="shared" si="26"/>
        <v>0</v>
      </c>
      <c r="F156" s="1105">
        <v>0</v>
      </c>
      <c r="G156" s="1105">
        <v>0</v>
      </c>
      <c r="H156" s="1108">
        <f t="shared" si="27"/>
        <v>0</v>
      </c>
    </row>
    <row r="157" spans="2:8">
      <c r="B157" s="1234" t="s">
        <v>5157</v>
      </c>
      <c r="C157" s="1106">
        <v>0</v>
      </c>
      <c r="D157" s="1105">
        <v>0</v>
      </c>
      <c r="E157" s="1107">
        <f t="shared" si="26"/>
        <v>0</v>
      </c>
      <c r="F157" s="1105">
        <v>0</v>
      </c>
      <c r="G157" s="1105">
        <v>0</v>
      </c>
      <c r="H157" s="1108">
        <f t="shared" si="27"/>
        <v>0</v>
      </c>
    </row>
    <row r="158" spans="2:8" ht="25.15" customHeight="1">
      <c r="B158" s="1234" t="s">
        <v>5158</v>
      </c>
      <c r="C158" s="1106">
        <v>0</v>
      </c>
      <c r="D158" s="1105">
        <v>0</v>
      </c>
      <c r="E158" s="1107">
        <f t="shared" si="26"/>
        <v>0</v>
      </c>
      <c r="F158" s="1105">
        <v>0</v>
      </c>
      <c r="G158" s="1105">
        <v>0</v>
      </c>
      <c r="H158" s="1108">
        <f t="shared" si="27"/>
        <v>0</v>
      </c>
    </row>
    <row r="159" spans="2:8" ht="12" customHeight="1">
      <c r="B159" s="1082"/>
      <c r="C159" s="1280"/>
      <c r="D159" s="1280"/>
      <c r="E159" s="1107"/>
      <c r="F159" s="1280"/>
      <c r="G159" s="1280"/>
      <c r="H159" s="1107"/>
    </row>
    <row r="160" spans="2:8" ht="12.75" thickBot="1">
      <c r="B160" s="1281" t="s">
        <v>5160</v>
      </c>
      <c r="C160" s="1282">
        <f>SUM(C10,C85)</f>
        <v>138260283.41649699</v>
      </c>
      <c r="D160" s="1282">
        <f t="shared" ref="D160:G160" si="28">SUM(D10,D85)</f>
        <v>2683490</v>
      </c>
      <c r="E160" s="1283">
        <f>SUM(E10,E85)</f>
        <v>140943773.41649699</v>
      </c>
      <c r="F160" s="1282">
        <f t="shared" si="28"/>
        <v>52183974.449999996</v>
      </c>
      <c r="G160" s="1282">
        <f t="shared" si="28"/>
        <v>52183974.449999996</v>
      </c>
      <c r="H160" s="1283">
        <f>SUM(H10,H85)</f>
        <v>88759798.966497004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91C1-BA5B-43E8-8E6D-1C9EA41C6842}">
  <dimension ref="B1:S98"/>
  <sheetViews>
    <sheetView workbookViewId="0">
      <selection activeCell="F10" sqref="F10"/>
    </sheetView>
  </sheetViews>
  <sheetFormatPr baseColWidth="10" defaultRowHeight="12.7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/>
    <row r="2" spans="2:9" ht="15">
      <c r="B2" s="1806" t="s">
        <v>2987</v>
      </c>
      <c r="C2" s="1807"/>
      <c r="D2" s="1807"/>
      <c r="E2" s="1807"/>
      <c r="F2" s="1807"/>
      <c r="G2" s="1807"/>
      <c r="H2" s="1835"/>
      <c r="I2" s="858" t="s">
        <v>5207</v>
      </c>
    </row>
    <row r="3" spans="2:9">
      <c r="B3" s="1809" t="s">
        <v>5083</v>
      </c>
      <c r="C3" s="1810"/>
      <c r="D3" s="1810"/>
      <c r="E3" s="1810"/>
      <c r="F3" s="1810"/>
      <c r="G3" s="1810"/>
      <c r="H3" s="1836"/>
    </row>
    <row r="4" spans="2:9">
      <c r="B4" s="1809" t="s">
        <v>5208</v>
      </c>
      <c r="C4" s="1810"/>
      <c r="D4" s="1810"/>
      <c r="E4" s="1810"/>
      <c r="F4" s="1810"/>
      <c r="G4" s="1810"/>
      <c r="H4" s="1836"/>
    </row>
    <row r="5" spans="2:9">
      <c r="B5" s="1812"/>
      <c r="C5" s="1813"/>
      <c r="D5" s="1813"/>
      <c r="E5" s="1813"/>
      <c r="F5" s="1813"/>
      <c r="G5" s="1813"/>
      <c r="H5" s="1837"/>
    </row>
    <row r="6" spans="2:9" ht="13.5" thickBot="1">
      <c r="B6" s="1815" t="s">
        <v>4865</v>
      </c>
      <c r="C6" s="1816"/>
      <c r="D6" s="1816"/>
      <c r="E6" s="1816"/>
      <c r="F6" s="1816"/>
      <c r="G6" s="1816"/>
      <c r="H6" s="1838"/>
    </row>
    <row r="7" spans="2:9" ht="13.5" thickBot="1">
      <c r="B7" s="1818" t="s">
        <v>4866</v>
      </c>
      <c r="C7" s="1832" t="s">
        <v>75</v>
      </c>
      <c r="D7" s="1833"/>
      <c r="E7" s="1833"/>
      <c r="F7" s="1833"/>
      <c r="G7" s="1834"/>
      <c r="H7" s="1823" t="s">
        <v>5084</v>
      </c>
    </row>
    <row r="8" spans="2:9" ht="24.75" thickBot="1">
      <c r="B8" s="1819"/>
      <c r="C8" s="1062" t="s">
        <v>4980</v>
      </c>
      <c r="D8" s="1062" t="s">
        <v>4795</v>
      </c>
      <c r="E8" s="1062" t="s">
        <v>4796</v>
      </c>
      <c r="F8" s="1062" t="s">
        <v>5209</v>
      </c>
      <c r="G8" s="1062" t="s">
        <v>819</v>
      </c>
      <c r="H8" s="1824"/>
    </row>
    <row r="9" spans="2:9">
      <c r="B9" s="1090" t="s">
        <v>5210</v>
      </c>
      <c r="C9" s="1301">
        <f>SUM(C10:C12,C15,C16,C19)</f>
        <v>19299621.387999997</v>
      </c>
      <c r="D9" s="1301">
        <f t="shared" ref="D9:H9" si="0">SUM(D10:D12,D15,D16,D19)</f>
        <v>0</v>
      </c>
      <c r="E9" s="1302">
        <f t="shared" si="0"/>
        <v>19299621.387999997</v>
      </c>
      <c r="F9" s="1301">
        <f t="shared" si="0"/>
        <v>15074778.560000001</v>
      </c>
      <c r="G9" s="1301">
        <f t="shared" si="0"/>
        <v>15074778.560000001</v>
      </c>
      <c r="H9" s="1302">
        <f t="shared" si="0"/>
        <v>4224842.827999996</v>
      </c>
    </row>
    <row r="10" spans="2:9" ht="24">
      <c r="B10" s="1303" t="s">
        <v>5211</v>
      </c>
      <c r="C10" s="1304">
        <f>+COG!D10</f>
        <v>19299621.387999997</v>
      </c>
      <c r="D10" s="1304">
        <f>+COG!E10</f>
        <v>0</v>
      </c>
      <c r="E10" s="1305">
        <f>C10+D10</f>
        <v>19299621.387999997</v>
      </c>
      <c r="F10" s="1304">
        <f>+COG!G10</f>
        <v>15074778.560000001</v>
      </c>
      <c r="G10" s="1304">
        <f>+COG!H10</f>
        <v>15074778.560000001</v>
      </c>
      <c r="H10" s="1305">
        <f>E10-F10</f>
        <v>4224842.827999996</v>
      </c>
    </row>
    <row r="11" spans="2:9">
      <c r="B11" s="1303" t="s">
        <v>5212</v>
      </c>
      <c r="C11" s="1304">
        <v>0</v>
      </c>
      <c r="D11" s="1304">
        <v>0</v>
      </c>
      <c r="E11" s="1305">
        <f t="shared" ref="E11:E15" si="1">C11+D11</f>
        <v>0</v>
      </c>
      <c r="F11" s="1304">
        <v>0</v>
      </c>
      <c r="G11" s="1304">
        <v>0</v>
      </c>
      <c r="H11" s="1305">
        <f>E11-F11</f>
        <v>0</v>
      </c>
    </row>
    <row r="12" spans="2:9">
      <c r="B12" s="1303" t="s">
        <v>5213</v>
      </c>
      <c r="C12" s="1306">
        <f>SUM(C13:C14)</f>
        <v>0</v>
      </c>
      <c r="D12" s="1306">
        <f t="shared" ref="D12:H12" si="2">SUM(D13:D14)</f>
        <v>0</v>
      </c>
      <c r="E12" s="1305">
        <f>E13+E14</f>
        <v>0</v>
      </c>
      <c r="F12" s="1306">
        <f t="shared" si="2"/>
        <v>0</v>
      </c>
      <c r="G12" s="1306">
        <f t="shared" si="2"/>
        <v>0</v>
      </c>
      <c r="H12" s="1305">
        <f t="shared" si="2"/>
        <v>0</v>
      </c>
    </row>
    <row r="13" spans="2:9">
      <c r="B13" s="1307" t="s">
        <v>5214</v>
      </c>
      <c r="C13" s="1304">
        <v>0</v>
      </c>
      <c r="D13" s="1304">
        <v>0</v>
      </c>
      <c r="E13" s="1305">
        <f t="shared" si="1"/>
        <v>0</v>
      </c>
      <c r="F13" s="1304">
        <v>0</v>
      </c>
      <c r="G13" s="1304">
        <v>0</v>
      </c>
      <c r="H13" s="1305">
        <f>E13-F13</f>
        <v>0</v>
      </c>
    </row>
    <row r="14" spans="2:9" ht="24">
      <c r="B14" s="1307" t="s">
        <v>5215</v>
      </c>
      <c r="C14" s="1304">
        <v>0</v>
      </c>
      <c r="D14" s="1304">
        <v>0</v>
      </c>
      <c r="E14" s="1305">
        <f t="shared" si="1"/>
        <v>0</v>
      </c>
      <c r="F14" s="1304">
        <v>0</v>
      </c>
      <c r="G14" s="1304">
        <v>0</v>
      </c>
      <c r="H14" s="1305">
        <f t="shared" ref="H14:H15" si="3">E14-F14</f>
        <v>0</v>
      </c>
    </row>
    <row r="15" spans="2:9">
      <c r="B15" s="1303" t="s">
        <v>5216</v>
      </c>
      <c r="C15" s="1304">
        <v>0</v>
      </c>
      <c r="D15" s="1304">
        <v>0</v>
      </c>
      <c r="E15" s="1305">
        <f t="shared" si="1"/>
        <v>0</v>
      </c>
      <c r="F15" s="1304">
        <v>0</v>
      </c>
      <c r="G15" s="1304">
        <v>0</v>
      </c>
      <c r="H15" s="1305">
        <f t="shared" si="3"/>
        <v>0</v>
      </c>
    </row>
    <row r="16" spans="2:9" ht="48">
      <c r="B16" s="1303" t="s">
        <v>5217</v>
      </c>
      <c r="C16" s="1306">
        <f>SUM(C17:C18)</f>
        <v>0</v>
      </c>
      <c r="D16" s="1306">
        <f t="shared" ref="D16:G16" si="4">SUM(D17:D18)</f>
        <v>0</v>
      </c>
      <c r="E16" s="1305">
        <f t="shared" si="4"/>
        <v>0</v>
      </c>
      <c r="F16" s="1306">
        <f t="shared" si="4"/>
        <v>0</v>
      </c>
      <c r="G16" s="1306">
        <f t="shared" si="4"/>
        <v>0</v>
      </c>
      <c r="H16" s="1305">
        <f>SUM(H17:H18)</f>
        <v>0</v>
      </c>
    </row>
    <row r="17" spans="2:8">
      <c r="B17" s="1308" t="s">
        <v>5218</v>
      </c>
      <c r="C17" s="1304">
        <v>0</v>
      </c>
      <c r="D17" s="1304">
        <v>0</v>
      </c>
      <c r="E17" s="1305">
        <f>C17+D17</f>
        <v>0</v>
      </c>
      <c r="F17" s="1304">
        <v>0</v>
      </c>
      <c r="G17" s="1304">
        <v>0</v>
      </c>
      <c r="H17" s="1305">
        <f>E17-F17</f>
        <v>0</v>
      </c>
    </row>
    <row r="18" spans="2:8">
      <c r="B18" s="1308" t="s">
        <v>5219</v>
      </c>
      <c r="C18" s="1304">
        <v>0</v>
      </c>
      <c r="D18" s="1304">
        <v>0</v>
      </c>
      <c r="E18" s="1305">
        <f t="shared" ref="E18:E19" si="5">C18+D18</f>
        <v>0</v>
      </c>
      <c r="F18" s="1304">
        <v>0</v>
      </c>
      <c r="G18" s="1304">
        <v>0</v>
      </c>
      <c r="H18" s="1305">
        <f>E18-F18</f>
        <v>0</v>
      </c>
    </row>
    <row r="19" spans="2:8">
      <c r="B19" s="1303" t="s">
        <v>5220</v>
      </c>
      <c r="C19" s="1304">
        <v>0</v>
      </c>
      <c r="D19" s="1304">
        <v>0</v>
      </c>
      <c r="E19" s="1305">
        <f t="shared" si="5"/>
        <v>0</v>
      </c>
      <c r="F19" s="1304">
        <v>0</v>
      </c>
      <c r="G19" s="1304">
        <v>0</v>
      </c>
      <c r="H19" s="1305">
        <f>E19-F19</f>
        <v>0</v>
      </c>
    </row>
    <row r="20" spans="2:8" ht="15" customHeight="1">
      <c r="B20" s="1095"/>
      <c r="C20" s="1301"/>
      <c r="D20" s="1309"/>
      <c r="E20" s="1310"/>
      <c r="F20" s="1309"/>
      <c r="G20" s="1309"/>
      <c r="H20" s="1310"/>
    </row>
    <row r="21" spans="2:8">
      <c r="B21" s="1090" t="s">
        <v>5221</v>
      </c>
      <c r="C21" s="1301">
        <f>SUM(C22:C24,C27,C28,C31)</f>
        <v>0</v>
      </c>
      <c r="D21" s="1301">
        <f t="shared" ref="D21:H21" si="6">SUM(D22:D24,D27,D28,D31)</f>
        <v>0</v>
      </c>
      <c r="E21" s="1302">
        <f t="shared" si="6"/>
        <v>0</v>
      </c>
      <c r="F21" s="1301">
        <f t="shared" si="6"/>
        <v>0</v>
      </c>
      <c r="G21" s="1301">
        <f t="shared" si="6"/>
        <v>0</v>
      </c>
      <c r="H21" s="1302">
        <f t="shared" si="6"/>
        <v>0</v>
      </c>
    </row>
    <row r="22" spans="2:8" ht="24">
      <c r="B22" s="1303" t="s">
        <v>5211</v>
      </c>
      <c r="C22" s="1304">
        <v>0</v>
      </c>
      <c r="D22" s="1304">
        <v>0</v>
      </c>
      <c r="E22" s="1305">
        <f>C22+D22</f>
        <v>0</v>
      </c>
      <c r="F22" s="1304">
        <v>0</v>
      </c>
      <c r="G22" s="1304">
        <v>0</v>
      </c>
      <c r="H22" s="1305">
        <f>E22-F22</f>
        <v>0</v>
      </c>
    </row>
    <row r="23" spans="2:8">
      <c r="B23" s="1303" t="s">
        <v>5212</v>
      </c>
      <c r="C23" s="1304">
        <v>0</v>
      </c>
      <c r="D23" s="1304">
        <v>0</v>
      </c>
      <c r="E23" s="1305">
        <f>C23+D23</f>
        <v>0</v>
      </c>
      <c r="F23" s="1304">
        <v>0</v>
      </c>
      <c r="G23" s="1304">
        <v>0</v>
      </c>
      <c r="H23" s="1305">
        <f>E23-F23</f>
        <v>0</v>
      </c>
    </row>
    <row r="24" spans="2:8">
      <c r="B24" s="1303" t="s">
        <v>5213</v>
      </c>
      <c r="C24" s="1306">
        <f>SUM(C25:C26)</f>
        <v>0</v>
      </c>
      <c r="D24" s="1306">
        <f t="shared" ref="D24:H24" si="7">SUM(D25:D26)</f>
        <v>0</v>
      </c>
      <c r="E24" s="1305">
        <f t="shared" si="7"/>
        <v>0</v>
      </c>
      <c r="F24" s="1306">
        <f t="shared" si="7"/>
        <v>0</v>
      </c>
      <c r="G24" s="1306">
        <f t="shared" si="7"/>
        <v>0</v>
      </c>
      <c r="H24" s="1305">
        <f t="shared" si="7"/>
        <v>0</v>
      </c>
    </row>
    <row r="25" spans="2:8">
      <c r="B25" s="1307" t="s">
        <v>5214</v>
      </c>
      <c r="C25" s="1304">
        <v>0</v>
      </c>
      <c r="D25" s="1304">
        <v>0</v>
      </c>
      <c r="E25" s="1305">
        <f>C25+D25</f>
        <v>0</v>
      </c>
      <c r="F25" s="1304">
        <v>0</v>
      </c>
      <c r="G25" s="1304">
        <v>0</v>
      </c>
      <c r="H25" s="1305">
        <f>E25-F25</f>
        <v>0</v>
      </c>
    </row>
    <row r="26" spans="2:8" ht="24">
      <c r="B26" s="1307" t="s">
        <v>5215</v>
      </c>
      <c r="C26" s="1304">
        <v>0</v>
      </c>
      <c r="D26" s="1304">
        <v>0</v>
      </c>
      <c r="E26" s="1305">
        <f>C26+D26</f>
        <v>0</v>
      </c>
      <c r="F26" s="1304">
        <v>0</v>
      </c>
      <c r="G26" s="1304">
        <v>0</v>
      </c>
      <c r="H26" s="1305">
        <f>E26-F26</f>
        <v>0</v>
      </c>
    </row>
    <row r="27" spans="2:8">
      <c r="B27" s="1303" t="s">
        <v>5216</v>
      </c>
      <c r="C27" s="1304">
        <v>0</v>
      </c>
      <c r="D27" s="1304">
        <v>0</v>
      </c>
      <c r="E27" s="1305">
        <f>C27+D27</f>
        <v>0</v>
      </c>
      <c r="F27" s="1304">
        <v>0</v>
      </c>
      <c r="G27" s="1304">
        <v>0</v>
      </c>
      <c r="H27" s="1305">
        <f>E27-F27</f>
        <v>0</v>
      </c>
    </row>
    <row r="28" spans="2:8" ht="48">
      <c r="B28" s="1303" t="s">
        <v>5217</v>
      </c>
      <c r="C28" s="1306">
        <f>SUM(C29:C30)</f>
        <v>0</v>
      </c>
      <c r="D28" s="1306">
        <f t="shared" ref="D28:H28" si="8">SUM(D29:D30)</f>
        <v>0</v>
      </c>
      <c r="E28" s="1305">
        <f t="shared" si="8"/>
        <v>0</v>
      </c>
      <c r="F28" s="1306">
        <f t="shared" si="8"/>
        <v>0</v>
      </c>
      <c r="G28" s="1306">
        <f t="shared" si="8"/>
        <v>0</v>
      </c>
      <c r="H28" s="1305">
        <f t="shared" si="8"/>
        <v>0</v>
      </c>
    </row>
    <row r="29" spans="2:8">
      <c r="B29" s="1308" t="s">
        <v>5218</v>
      </c>
      <c r="C29" s="1304">
        <v>0</v>
      </c>
      <c r="D29" s="1304">
        <v>0</v>
      </c>
      <c r="E29" s="1305">
        <f>C29+D29</f>
        <v>0</v>
      </c>
      <c r="F29" s="1304">
        <v>0</v>
      </c>
      <c r="G29" s="1304">
        <v>0</v>
      </c>
      <c r="H29" s="1305">
        <f>E29-F29</f>
        <v>0</v>
      </c>
    </row>
    <row r="30" spans="2:8">
      <c r="B30" s="1308" t="s">
        <v>5219</v>
      </c>
      <c r="C30" s="1304">
        <v>0</v>
      </c>
      <c r="D30" s="1304">
        <v>0</v>
      </c>
      <c r="E30" s="1305">
        <f>C30+D30</f>
        <v>0</v>
      </c>
      <c r="F30" s="1304">
        <v>0</v>
      </c>
      <c r="G30" s="1304">
        <v>0</v>
      </c>
      <c r="H30" s="1305">
        <f t="shared" ref="H30:H31" si="9">E30-F30</f>
        <v>0</v>
      </c>
    </row>
    <row r="31" spans="2:8">
      <c r="B31" s="1303" t="s">
        <v>5220</v>
      </c>
      <c r="C31" s="1304">
        <v>0</v>
      </c>
      <c r="D31" s="1304">
        <v>0</v>
      </c>
      <c r="E31" s="1305">
        <f>C31+D31</f>
        <v>0</v>
      </c>
      <c r="F31" s="1304">
        <v>0</v>
      </c>
      <c r="G31" s="1304">
        <v>0</v>
      </c>
      <c r="H31" s="1305">
        <f t="shared" si="9"/>
        <v>0</v>
      </c>
    </row>
    <row r="32" spans="2:8" ht="24.75" thickBot="1">
      <c r="B32" s="1311" t="s">
        <v>5222</v>
      </c>
      <c r="C32" s="1312">
        <f>SUM(C9,C21)</f>
        <v>19299621.387999997</v>
      </c>
      <c r="D32" s="1312">
        <f t="shared" ref="D32:H32" si="10">SUM(D9,D21)</f>
        <v>0</v>
      </c>
      <c r="E32" s="1313">
        <f t="shared" si="10"/>
        <v>19299621.387999997</v>
      </c>
      <c r="F32" s="1312">
        <f t="shared" si="10"/>
        <v>15074778.560000001</v>
      </c>
      <c r="G32" s="1312">
        <f t="shared" si="10"/>
        <v>15074778.560000001</v>
      </c>
      <c r="H32" s="1313">
        <f t="shared" si="10"/>
        <v>4224842.827999996</v>
      </c>
    </row>
    <row r="98" spans="19:19" ht="15">
      <c r="S98" s="85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5"/>
  <sheetViews>
    <sheetView workbookViewId="0">
      <selection activeCell="D12" sqref="D12"/>
    </sheetView>
  </sheetViews>
  <sheetFormatPr baseColWidth="10" defaultRowHeight="15"/>
  <cols>
    <col min="1" max="1" width="2.28515625" style="354" customWidth="1"/>
    <col min="2" max="2" width="3.28515625" style="346" customWidth="1"/>
    <col min="3" max="3" width="52.5703125" style="346" customWidth="1"/>
    <col min="4" max="9" width="12.7109375" style="346" customWidth="1"/>
    <col min="10" max="10" width="2.7109375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42"/>
      <c r="C2" s="1743"/>
      <c r="D2" s="1743"/>
      <c r="E2" s="1743"/>
      <c r="F2" s="1743"/>
      <c r="G2" s="1743"/>
      <c r="H2" s="1743"/>
      <c r="I2" s="1744"/>
    </row>
    <row r="3" spans="2:9">
      <c r="B3" s="1745" t="s">
        <v>2987</v>
      </c>
      <c r="C3" s="1746"/>
      <c r="D3" s="1746"/>
      <c r="E3" s="1746"/>
      <c r="F3" s="1746"/>
      <c r="G3" s="1746"/>
      <c r="H3" s="1746"/>
      <c r="I3" s="1747"/>
    </row>
    <row r="4" spans="2:9">
      <c r="B4" s="1745" t="s">
        <v>814</v>
      </c>
      <c r="C4" s="1746"/>
      <c r="D4" s="1746"/>
      <c r="E4" s="1746"/>
      <c r="F4" s="1746"/>
      <c r="G4" s="1746"/>
      <c r="H4" s="1746"/>
      <c r="I4" s="1747"/>
    </row>
    <row r="5" spans="2:9">
      <c r="B5" s="1745" t="s">
        <v>815</v>
      </c>
      <c r="C5" s="1746"/>
      <c r="D5" s="1746"/>
      <c r="E5" s="1746"/>
      <c r="F5" s="1746"/>
      <c r="G5" s="1746"/>
      <c r="H5" s="1746"/>
      <c r="I5" s="1747"/>
    </row>
    <row r="6" spans="2:9">
      <c r="B6" s="1748" t="str">
        <f>+EA!C3</f>
        <v>Del 1 de enero al 31 de diciembre de 2021</v>
      </c>
      <c r="C6" s="1749"/>
      <c r="D6" s="1749"/>
      <c r="E6" s="1749"/>
      <c r="F6" s="1749"/>
      <c r="G6" s="1749"/>
      <c r="H6" s="1749"/>
      <c r="I6" s="1750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27" t="s">
        <v>230</v>
      </c>
      <c r="C8" s="1827"/>
      <c r="D8" s="1828" t="s">
        <v>75</v>
      </c>
      <c r="E8" s="1828"/>
      <c r="F8" s="1828"/>
      <c r="G8" s="1828"/>
      <c r="H8" s="1828"/>
      <c r="I8" s="1828" t="s">
        <v>816</v>
      </c>
    </row>
    <row r="9" spans="2:9" ht="22.5">
      <c r="B9" s="1827"/>
      <c r="C9" s="1827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8"/>
    </row>
    <row r="10" spans="2:9">
      <c r="B10" s="1827"/>
      <c r="C10" s="1827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55"/>
      <c r="C11" s="356"/>
      <c r="D11" s="357"/>
      <c r="E11" s="357"/>
      <c r="F11" s="357"/>
      <c r="G11" s="357"/>
      <c r="H11" s="357"/>
      <c r="I11" s="357"/>
    </row>
    <row r="12" spans="2:9">
      <c r="B12" s="358"/>
      <c r="C12" s="359" t="s">
        <v>3120</v>
      </c>
      <c r="D12" s="360">
        <f>+COG!D32</f>
        <v>138260283.41649699</v>
      </c>
      <c r="E12" s="360">
        <f>+COG!E32</f>
        <v>2683490</v>
      </c>
      <c r="F12" s="360">
        <f>+D12+E12</f>
        <v>140943773.41649699</v>
      </c>
      <c r="G12" s="360">
        <f>+COG!G32</f>
        <v>52183974.449999996</v>
      </c>
      <c r="H12" s="360">
        <f>+COG!H32</f>
        <v>52183974.449999996</v>
      </c>
      <c r="I12" s="360">
        <f>+F12-G12</f>
        <v>88759798.966497004</v>
      </c>
    </row>
    <row r="13" spans="2:9">
      <c r="B13" s="358"/>
      <c r="C13" s="359"/>
      <c r="D13" s="360"/>
      <c r="E13" s="360"/>
      <c r="F13" s="360"/>
      <c r="G13" s="360"/>
      <c r="H13" s="360"/>
      <c r="I13" s="360">
        <f t="shared" ref="I13:I20" si="0">+F13-G13</f>
        <v>0</v>
      </c>
    </row>
    <row r="14" spans="2:9">
      <c r="B14" s="358"/>
      <c r="C14" s="359"/>
      <c r="D14" s="360"/>
      <c r="E14" s="360"/>
      <c r="F14" s="360"/>
      <c r="G14" s="360"/>
      <c r="H14" s="360"/>
      <c r="I14" s="360">
        <f t="shared" si="0"/>
        <v>0</v>
      </c>
    </row>
    <row r="15" spans="2:9">
      <c r="B15" s="358"/>
      <c r="C15" s="359"/>
      <c r="D15" s="360"/>
      <c r="E15" s="360"/>
      <c r="F15" s="360"/>
      <c r="G15" s="360"/>
      <c r="H15" s="360"/>
      <c r="I15" s="360">
        <f t="shared" si="0"/>
        <v>0</v>
      </c>
    </row>
    <row r="16" spans="2:9">
      <c r="B16" s="358"/>
      <c r="C16" s="359"/>
      <c r="D16" s="360"/>
      <c r="E16" s="360"/>
      <c r="F16" s="360"/>
      <c r="G16" s="360"/>
      <c r="H16" s="360"/>
      <c r="I16" s="360">
        <f t="shared" si="0"/>
        <v>0</v>
      </c>
    </row>
    <row r="17" spans="1:10">
      <c r="B17" s="358"/>
      <c r="C17" s="359"/>
      <c r="D17" s="360"/>
      <c r="E17" s="360"/>
      <c r="F17" s="360"/>
      <c r="G17" s="360"/>
      <c r="H17" s="360"/>
      <c r="I17" s="360">
        <f t="shared" si="0"/>
        <v>0</v>
      </c>
    </row>
    <row r="18" spans="1:10">
      <c r="B18" s="358"/>
      <c r="C18" s="359"/>
      <c r="D18" s="360"/>
      <c r="E18" s="360"/>
      <c r="F18" s="360"/>
      <c r="G18" s="360"/>
      <c r="H18" s="360"/>
      <c r="I18" s="360">
        <f t="shared" si="0"/>
        <v>0</v>
      </c>
    </row>
    <row r="19" spans="1:10">
      <c r="B19" s="358"/>
      <c r="C19" s="359"/>
      <c r="D19" s="360"/>
      <c r="E19" s="360"/>
      <c r="F19" s="360"/>
      <c r="G19" s="360"/>
      <c r="H19" s="360"/>
      <c r="I19" s="360">
        <f t="shared" si="0"/>
        <v>0</v>
      </c>
    </row>
    <row r="20" spans="1:10">
      <c r="B20" s="358"/>
      <c r="C20" s="359"/>
      <c r="D20" s="360"/>
      <c r="E20" s="360"/>
      <c r="F20" s="360"/>
      <c r="G20" s="360"/>
      <c r="H20" s="360"/>
      <c r="I20" s="360">
        <f t="shared" si="0"/>
        <v>0</v>
      </c>
    </row>
    <row r="21" spans="1:10">
      <c r="B21" s="362"/>
      <c r="C21" s="363"/>
      <c r="D21" s="364"/>
      <c r="E21" s="364"/>
      <c r="F21" s="364"/>
      <c r="G21" s="364"/>
      <c r="H21" s="364"/>
      <c r="I21" s="364"/>
    </row>
    <row r="22" spans="1:10" s="369" customFormat="1">
      <c r="A22" s="365"/>
      <c r="B22" s="366"/>
      <c r="C22" s="367" t="s">
        <v>822</v>
      </c>
      <c r="D22" s="368">
        <f>SUM(D12:D20)</f>
        <v>138260283.41649699</v>
      </c>
      <c r="E22" s="368">
        <f t="shared" ref="E22:I22" si="1">SUM(E12:E20)</f>
        <v>2683490</v>
      </c>
      <c r="F22" s="368">
        <f t="shared" si="1"/>
        <v>140943773.41649699</v>
      </c>
      <c r="G22" s="368">
        <f t="shared" si="1"/>
        <v>52183974.449999996</v>
      </c>
      <c r="H22" s="368">
        <f t="shared" si="1"/>
        <v>52183974.449999996</v>
      </c>
      <c r="I22" s="368">
        <f t="shared" si="1"/>
        <v>88759798.966497004</v>
      </c>
      <c r="J22" s="365"/>
    </row>
    <row r="23" spans="1:10">
      <c r="B23" s="317"/>
      <c r="C23" s="317"/>
      <c r="D23" s="317"/>
      <c r="E23" s="317"/>
      <c r="F23" s="317"/>
      <c r="G23" s="317"/>
      <c r="H23" s="317"/>
      <c r="I23" s="317"/>
    </row>
    <row r="24" spans="1:10">
      <c r="B24" s="317"/>
      <c r="C24" s="317"/>
      <c r="D24" s="317"/>
      <c r="E24" s="317"/>
      <c r="F24" s="317"/>
      <c r="G24" s="317"/>
      <c r="H24" s="317"/>
      <c r="I24" s="317"/>
    </row>
    <row r="25" spans="1:10">
      <c r="B25" s="317"/>
      <c r="C25" s="317"/>
      <c r="D25" s="317"/>
      <c r="E25" s="317"/>
      <c r="F25" s="317"/>
      <c r="G25" s="317"/>
      <c r="H25" s="317"/>
      <c r="I25" s="317"/>
    </row>
  </sheetData>
  <mergeCells count="8">
    <mergeCell ref="B2:I2"/>
    <mergeCell ref="B8:C10"/>
    <mergeCell ref="D8:H8"/>
    <mergeCell ref="I8:I9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3901-FE15-421F-BC8B-2A910E594A53}">
  <dimension ref="B2:H20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1" customWidth="1"/>
    <col min="2" max="2" width="39.5703125" style="1061" customWidth="1"/>
    <col min="3" max="3" width="14.42578125" style="1061" bestFit="1" customWidth="1"/>
    <col min="4" max="4" width="13.5703125" style="1061" customWidth="1"/>
    <col min="5" max="8" width="14.42578125" style="1061" bestFit="1" customWidth="1"/>
    <col min="9" max="9" width="4.7109375" style="1061" customWidth="1"/>
    <col min="10" max="16384" width="11.5703125" style="1061"/>
  </cols>
  <sheetData>
    <row r="2" spans="2:8">
      <c r="B2" s="1769" t="s">
        <v>2987</v>
      </c>
      <c r="C2" s="1770"/>
      <c r="D2" s="1770"/>
      <c r="E2" s="1770"/>
      <c r="F2" s="1770"/>
      <c r="G2" s="1770"/>
      <c r="H2" s="1771"/>
    </row>
    <row r="3" spans="2:8">
      <c r="B3" s="1809" t="s">
        <v>4792</v>
      </c>
      <c r="C3" s="1810"/>
      <c r="D3" s="1810"/>
      <c r="E3" s="1810"/>
      <c r="F3" s="1810"/>
      <c r="G3" s="1810"/>
      <c r="H3" s="1836"/>
    </row>
    <row r="4" spans="2:8">
      <c r="B4" s="1809" t="s">
        <v>815</v>
      </c>
      <c r="C4" s="1810"/>
      <c r="D4" s="1810"/>
      <c r="E4" s="1810"/>
      <c r="F4" s="1810"/>
      <c r="G4" s="1810"/>
      <c r="H4" s="1836"/>
    </row>
    <row r="5" spans="2:8" ht="12.75" thickBot="1">
      <c r="B5" s="1839"/>
      <c r="C5" s="1840"/>
      <c r="D5" s="1840"/>
      <c r="E5" s="1840"/>
      <c r="F5" s="1840"/>
      <c r="G5" s="1840"/>
      <c r="H5" s="1841"/>
    </row>
    <row r="6" spans="2:8" ht="12.75" thickBot="1">
      <c r="B6" s="1818" t="s">
        <v>230</v>
      </c>
      <c r="C6" s="1820" t="s">
        <v>75</v>
      </c>
      <c r="D6" s="1821"/>
      <c r="E6" s="1821"/>
      <c r="F6" s="1821"/>
      <c r="G6" s="1822"/>
      <c r="H6" s="1823" t="s">
        <v>4793</v>
      </c>
    </row>
    <row r="7" spans="2:8" ht="24.75" thickBot="1">
      <c r="B7" s="1831"/>
      <c r="C7" s="1062" t="s">
        <v>4794</v>
      </c>
      <c r="D7" s="1062" t="s">
        <v>4795</v>
      </c>
      <c r="E7" s="1062" t="s">
        <v>4796</v>
      </c>
      <c r="F7" s="1062" t="s">
        <v>236</v>
      </c>
      <c r="G7" s="1062" t="s">
        <v>4797</v>
      </c>
      <c r="H7" s="1824"/>
    </row>
    <row r="8" spans="2:8" ht="12.75" thickBot="1">
      <c r="B8" s="1819"/>
      <c r="C8" s="1063">
        <v>1</v>
      </c>
      <c r="D8" s="1063">
        <v>2</v>
      </c>
      <c r="E8" s="1063" t="s">
        <v>4798</v>
      </c>
      <c r="F8" s="1063">
        <v>4</v>
      </c>
      <c r="G8" s="1063">
        <v>5</v>
      </c>
      <c r="H8" s="1064" t="s">
        <v>4799</v>
      </c>
    </row>
    <row r="9" spans="2:8">
      <c r="B9" s="1065"/>
      <c r="C9" s="1066"/>
      <c r="D9" s="1067"/>
      <c r="E9" s="1066"/>
      <c r="F9" s="1067"/>
      <c r="G9" s="1066"/>
      <c r="H9" s="1068"/>
    </row>
    <row r="10" spans="2:8">
      <c r="B10" s="1069" t="s">
        <v>3120</v>
      </c>
      <c r="C10" s="1070">
        <f>+CAdmon!D12</f>
        <v>138260283.41649699</v>
      </c>
      <c r="D10" s="1071">
        <f>+CAdmon!E12</f>
        <v>2683490</v>
      </c>
      <c r="E10" s="1072">
        <f>C10+D10</f>
        <v>140943773.41649699</v>
      </c>
      <c r="F10" s="1071">
        <f>+CAdmon!G12</f>
        <v>52183974.449999996</v>
      </c>
      <c r="G10" s="1070">
        <f>+CAdmon!H12</f>
        <v>52183974.449999996</v>
      </c>
      <c r="H10" s="1073">
        <f t="shared" ref="H10:H18" si="0">E10-F10</f>
        <v>88759798.966497004</v>
      </c>
    </row>
    <row r="11" spans="2:8">
      <c r="B11" s="1069"/>
      <c r="C11" s="1070">
        <v>0</v>
      </c>
      <c r="D11" s="1071">
        <v>0</v>
      </c>
      <c r="E11" s="1072">
        <f t="shared" ref="E11:E18" si="1">C11+D11</f>
        <v>0</v>
      </c>
      <c r="F11" s="1071">
        <v>0</v>
      </c>
      <c r="G11" s="1070">
        <v>0</v>
      </c>
      <c r="H11" s="1073">
        <f t="shared" si="0"/>
        <v>0</v>
      </c>
    </row>
    <row r="12" spans="2:8">
      <c r="B12" s="1069"/>
      <c r="C12" s="1070">
        <v>0</v>
      </c>
      <c r="D12" s="1071">
        <v>0</v>
      </c>
      <c r="E12" s="1072">
        <f t="shared" si="1"/>
        <v>0</v>
      </c>
      <c r="F12" s="1071">
        <v>0</v>
      </c>
      <c r="G12" s="1070">
        <v>0</v>
      </c>
      <c r="H12" s="1073">
        <f t="shared" si="0"/>
        <v>0</v>
      </c>
    </row>
    <row r="13" spans="2:8">
      <c r="B13" s="1069"/>
      <c r="C13" s="1070">
        <v>0</v>
      </c>
      <c r="D13" s="1071">
        <v>0</v>
      </c>
      <c r="E13" s="1072">
        <f t="shared" si="1"/>
        <v>0</v>
      </c>
      <c r="F13" s="1071">
        <v>0</v>
      </c>
      <c r="G13" s="1070">
        <v>0</v>
      </c>
      <c r="H13" s="1073">
        <f t="shared" si="0"/>
        <v>0</v>
      </c>
    </row>
    <row r="14" spans="2:8">
      <c r="B14" s="1074"/>
      <c r="C14" s="1070">
        <v>0</v>
      </c>
      <c r="D14" s="1071">
        <v>0</v>
      </c>
      <c r="E14" s="1072">
        <f t="shared" si="1"/>
        <v>0</v>
      </c>
      <c r="F14" s="1071">
        <v>0</v>
      </c>
      <c r="G14" s="1070">
        <v>0</v>
      </c>
      <c r="H14" s="1073">
        <f t="shared" si="0"/>
        <v>0</v>
      </c>
    </row>
    <row r="15" spans="2:8">
      <c r="B15" s="1074"/>
      <c r="C15" s="1070">
        <v>0</v>
      </c>
      <c r="D15" s="1071">
        <v>0</v>
      </c>
      <c r="E15" s="1072">
        <f t="shared" si="1"/>
        <v>0</v>
      </c>
      <c r="F15" s="1071">
        <v>0</v>
      </c>
      <c r="G15" s="1070">
        <v>0</v>
      </c>
      <c r="H15" s="1073">
        <f t="shared" si="0"/>
        <v>0</v>
      </c>
    </row>
    <row r="16" spans="2:8">
      <c r="B16" s="1074"/>
      <c r="C16" s="1070">
        <v>0</v>
      </c>
      <c r="D16" s="1071">
        <v>0</v>
      </c>
      <c r="E16" s="1072">
        <f t="shared" si="1"/>
        <v>0</v>
      </c>
      <c r="F16" s="1071">
        <v>0</v>
      </c>
      <c r="G16" s="1070">
        <v>0</v>
      </c>
      <c r="H16" s="1073">
        <f t="shared" si="0"/>
        <v>0</v>
      </c>
    </row>
    <row r="17" spans="2:8">
      <c r="B17" s="1074"/>
      <c r="C17" s="1070">
        <v>0</v>
      </c>
      <c r="D17" s="1071">
        <v>0</v>
      </c>
      <c r="E17" s="1072">
        <f t="shared" si="1"/>
        <v>0</v>
      </c>
      <c r="F17" s="1071">
        <v>0</v>
      </c>
      <c r="G17" s="1070">
        <v>0</v>
      </c>
      <c r="H17" s="1073">
        <f t="shared" si="0"/>
        <v>0</v>
      </c>
    </row>
    <row r="18" spans="2:8">
      <c r="B18" s="1074"/>
      <c r="C18" s="1070">
        <v>0</v>
      </c>
      <c r="D18" s="1071">
        <v>0</v>
      </c>
      <c r="E18" s="1072">
        <f t="shared" si="1"/>
        <v>0</v>
      </c>
      <c r="F18" s="1071">
        <v>0</v>
      </c>
      <c r="G18" s="1070">
        <v>0</v>
      </c>
      <c r="H18" s="1073">
        <f t="shared" si="0"/>
        <v>0</v>
      </c>
    </row>
    <row r="19" spans="2:8" ht="12.75" thickBot="1">
      <c r="B19" s="1069"/>
      <c r="C19" s="1072"/>
      <c r="D19" s="1075"/>
      <c r="E19" s="1072"/>
      <c r="F19" s="1075"/>
      <c r="G19" s="1072"/>
      <c r="H19" s="1073"/>
    </row>
    <row r="20" spans="2:8" ht="12.75" thickBot="1">
      <c r="B20" s="1076" t="s">
        <v>4800</v>
      </c>
      <c r="C20" s="1077">
        <f>SUM(C9:C19)</f>
        <v>138260283.41649699</v>
      </c>
      <c r="D20" s="1078">
        <f>SUM(D9:D19)</f>
        <v>2683490</v>
      </c>
      <c r="E20" s="1077">
        <f>SUM(C20,D20)</f>
        <v>140943773.41649699</v>
      </c>
      <c r="F20" s="1078">
        <f>SUM(F9:F19)</f>
        <v>52183974.449999996</v>
      </c>
      <c r="G20" s="1077">
        <f>SUM(G9:G19)</f>
        <v>52183974.449999996</v>
      </c>
      <c r="H20" s="1079">
        <f>E20-F20</f>
        <v>88759798.966497004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14369" r:id="rId4" name="Button 1">
              <controlPr defaultSize="0" print="0" autoFill="0" autoPict="0" macro="[1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370" r:id="rId5" name="Button 2">
              <controlPr defaultSize="0" print="0" autoFill="0" autoPict="0" macro="[1]!Borrar_fila">
                <anchor moveWithCells="1" sizeWithCells="1">
                  <from>
                    <xdr:col>9</xdr:col>
                    <xdr:colOff>57150</xdr:colOff>
                    <xdr:row>12</xdr:row>
                    <xdr:rowOff>142875</xdr:rowOff>
                  </from>
                  <to>
                    <xdr:col>11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05C3-96BC-47FB-8CDB-A09F3972D515}">
  <dimension ref="B1:H22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1" customWidth="1"/>
    <col min="2" max="2" width="51" style="1061" customWidth="1"/>
    <col min="3" max="3" width="14.42578125" style="1061" bestFit="1" customWidth="1"/>
    <col min="4" max="4" width="13.5703125" style="1061" customWidth="1"/>
    <col min="5" max="8" width="14.42578125" style="1061" bestFit="1" customWidth="1"/>
    <col min="9" max="9" width="4.7109375" style="1061" customWidth="1"/>
    <col min="10" max="16384" width="11.5703125" style="1061"/>
  </cols>
  <sheetData>
    <row r="1" spans="2:8" ht="12.75" thickBot="1"/>
    <row r="2" spans="2:8">
      <c r="B2" s="1806" t="s">
        <v>2987</v>
      </c>
      <c r="C2" s="1807"/>
      <c r="D2" s="1807"/>
      <c r="E2" s="1807"/>
      <c r="F2" s="1807"/>
      <c r="G2" s="1807"/>
      <c r="H2" s="1835"/>
    </row>
    <row r="3" spans="2:8">
      <c r="B3" s="1809" t="s">
        <v>4792</v>
      </c>
      <c r="C3" s="1810"/>
      <c r="D3" s="1810"/>
      <c r="E3" s="1810"/>
      <c r="F3" s="1810"/>
      <c r="G3" s="1810"/>
      <c r="H3" s="1836"/>
    </row>
    <row r="4" spans="2:8">
      <c r="B4" s="1809" t="s">
        <v>815</v>
      </c>
      <c r="C4" s="1810"/>
      <c r="D4" s="1810"/>
      <c r="E4" s="1810"/>
      <c r="F4" s="1810"/>
      <c r="G4" s="1810"/>
      <c r="H4" s="1836"/>
    </row>
    <row r="5" spans="2:8" ht="12.75" thickBot="1">
      <c r="B5" s="1839"/>
      <c r="C5" s="1840"/>
      <c r="D5" s="1840"/>
      <c r="E5" s="1840"/>
      <c r="F5" s="1840"/>
      <c r="G5" s="1840"/>
      <c r="H5" s="1841"/>
    </row>
    <row r="6" spans="2:8" ht="12.75" thickBot="1">
      <c r="B6" s="1818" t="s">
        <v>230</v>
      </c>
      <c r="C6" s="1820" t="s">
        <v>75</v>
      </c>
      <c r="D6" s="1821"/>
      <c r="E6" s="1821"/>
      <c r="F6" s="1821"/>
      <c r="G6" s="1822"/>
      <c r="H6" s="1823" t="s">
        <v>4793</v>
      </c>
    </row>
    <row r="7" spans="2:8" ht="24.75" thickBot="1">
      <c r="B7" s="1831"/>
      <c r="C7" s="1062" t="s">
        <v>4794</v>
      </c>
      <c r="D7" s="1062" t="s">
        <v>4795</v>
      </c>
      <c r="E7" s="1062" t="s">
        <v>4796</v>
      </c>
      <c r="F7" s="1062" t="s">
        <v>236</v>
      </c>
      <c r="G7" s="1062" t="s">
        <v>4797</v>
      </c>
      <c r="H7" s="1824"/>
    </row>
    <row r="8" spans="2:8" ht="12.75" thickBot="1">
      <c r="B8" s="1819"/>
      <c r="C8" s="1063">
        <v>1</v>
      </c>
      <c r="D8" s="1063">
        <v>2</v>
      </c>
      <c r="E8" s="1063" t="s">
        <v>4801</v>
      </c>
      <c r="F8" s="1063">
        <v>4</v>
      </c>
      <c r="G8" s="1063">
        <v>5</v>
      </c>
      <c r="H8" s="1064" t="s">
        <v>4799</v>
      </c>
    </row>
    <row r="9" spans="2:8">
      <c r="B9" s="1080"/>
      <c r="C9" s="1066"/>
      <c r="D9" s="1067"/>
      <c r="E9" s="1066"/>
      <c r="F9" s="1067"/>
      <c r="G9" s="1066"/>
      <c r="H9" s="1068"/>
    </row>
    <row r="10" spans="2:8" ht="24">
      <c r="B10" s="1081" t="s">
        <v>4802</v>
      </c>
      <c r="C10" s="1070">
        <f>+CAdmon!D12</f>
        <v>138260283.41649699</v>
      </c>
      <c r="D10" s="1071">
        <f>+CAdmon!E12</f>
        <v>2683490</v>
      </c>
      <c r="E10" s="1072">
        <f>C10+D10</f>
        <v>140943773.41649699</v>
      </c>
      <c r="F10" s="1071">
        <f>+CAdmon!G12</f>
        <v>52183974.449999996</v>
      </c>
      <c r="G10" s="1070">
        <f>+CAdmon!H12</f>
        <v>52183974.449999996</v>
      </c>
      <c r="H10" s="1073">
        <f>E10-F10</f>
        <v>88759798.966497004</v>
      </c>
    </row>
    <row r="11" spans="2:8">
      <c r="B11" s="1082"/>
      <c r="C11" s="1072"/>
      <c r="D11" s="1075"/>
      <c r="E11" s="1072"/>
      <c r="F11" s="1075"/>
      <c r="G11" s="1072"/>
      <c r="H11" s="1073"/>
    </row>
    <row r="12" spans="2:8">
      <c r="B12" s="1082" t="s">
        <v>4803</v>
      </c>
      <c r="C12" s="1070">
        <v>0</v>
      </c>
      <c r="D12" s="1071">
        <v>0</v>
      </c>
      <c r="E12" s="1072">
        <f>C12+D12</f>
        <v>0</v>
      </c>
      <c r="F12" s="1071">
        <v>0</v>
      </c>
      <c r="G12" s="1070">
        <v>0</v>
      </c>
      <c r="H12" s="1073">
        <f>E12-F12</f>
        <v>0</v>
      </c>
    </row>
    <row r="13" spans="2:8">
      <c r="B13" s="1082"/>
      <c r="C13" s="1072"/>
      <c r="D13" s="1075"/>
      <c r="E13" s="1072"/>
      <c r="F13" s="1075"/>
      <c r="G13" s="1072"/>
      <c r="H13" s="1073"/>
    </row>
    <row r="14" spans="2:8" ht="24">
      <c r="B14" s="1081" t="s">
        <v>4804</v>
      </c>
      <c r="C14" s="1070">
        <v>0</v>
      </c>
      <c r="D14" s="1071">
        <v>0</v>
      </c>
      <c r="E14" s="1072">
        <f>C14+D14</f>
        <v>0</v>
      </c>
      <c r="F14" s="1071">
        <v>0</v>
      </c>
      <c r="G14" s="1070">
        <v>0</v>
      </c>
      <c r="H14" s="1073">
        <f>E14-F14</f>
        <v>0</v>
      </c>
    </row>
    <row r="15" spans="2:8">
      <c r="B15" s="1082"/>
      <c r="C15" s="1072"/>
      <c r="D15" s="1075"/>
      <c r="E15" s="1072"/>
      <c r="F15" s="1075"/>
      <c r="G15" s="1072"/>
      <c r="H15" s="1073"/>
    </row>
    <row r="16" spans="2:8" ht="24">
      <c r="B16" s="1081" t="s">
        <v>4805</v>
      </c>
      <c r="C16" s="1070">
        <v>0</v>
      </c>
      <c r="D16" s="1071">
        <v>0</v>
      </c>
      <c r="E16" s="1072">
        <f>C16+D16</f>
        <v>0</v>
      </c>
      <c r="F16" s="1071">
        <v>0</v>
      </c>
      <c r="G16" s="1070">
        <v>0</v>
      </c>
      <c r="H16" s="1073">
        <f>E16-F16</f>
        <v>0</v>
      </c>
    </row>
    <row r="17" spans="2:8">
      <c r="B17" s="1082"/>
      <c r="C17" s="1072"/>
      <c r="D17" s="1075"/>
      <c r="E17" s="1072"/>
      <c r="F17" s="1075"/>
      <c r="G17" s="1072"/>
      <c r="H17" s="1073"/>
    </row>
    <row r="18" spans="2:8" ht="24">
      <c r="B18" s="1081" t="s">
        <v>4806</v>
      </c>
      <c r="C18" s="1070">
        <v>0</v>
      </c>
      <c r="D18" s="1071">
        <v>0</v>
      </c>
      <c r="E18" s="1072">
        <f>C18+D18</f>
        <v>0</v>
      </c>
      <c r="F18" s="1071">
        <v>0</v>
      </c>
      <c r="G18" s="1070">
        <v>0</v>
      </c>
      <c r="H18" s="1073">
        <f>E18-F18</f>
        <v>0</v>
      </c>
    </row>
    <row r="19" spans="2:8">
      <c r="B19" s="1082"/>
      <c r="C19" s="1072"/>
      <c r="D19" s="1075"/>
      <c r="E19" s="1072"/>
      <c r="F19" s="1075"/>
      <c r="G19" s="1072"/>
      <c r="H19" s="1073"/>
    </row>
    <row r="20" spans="2:8" ht="24">
      <c r="B20" s="1081" t="s">
        <v>4807</v>
      </c>
      <c r="C20" s="1070">
        <v>0</v>
      </c>
      <c r="D20" s="1071">
        <v>0</v>
      </c>
      <c r="E20" s="1072">
        <f>C20+D20</f>
        <v>0</v>
      </c>
      <c r="F20" s="1071">
        <v>0</v>
      </c>
      <c r="G20" s="1070">
        <v>0</v>
      </c>
      <c r="H20" s="1073">
        <f>E20-F20</f>
        <v>0</v>
      </c>
    </row>
    <row r="21" spans="2:8" ht="12.75" thickBot="1">
      <c r="B21" s="1083"/>
      <c r="C21" s="1072"/>
      <c r="D21" s="1075"/>
      <c r="E21" s="1072"/>
      <c r="F21" s="1075"/>
      <c r="G21" s="1072"/>
      <c r="H21" s="1073"/>
    </row>
    <row r="22" spans="2:8" ht="12.75" thickBot="1">
      <c r="B22" s="1084" t="s">
        <v>4800</v>
      </c>
      <c r="C22" s="1077">
        <f>SUM(C10:C20)</f>
        <v>138260283.41649699</v>
      </c>
      <c r="D22" s="1078">
        <f>SUM(D10:D20)</f>
        <v>2683490</v>
      </c>
      <c r="E22" s="1077">
        <f>C22+D22</f>
        <v>140943773.41649699</v>
      </c>
      <c r="F22" s="1078">
        <f>SUM(F10:F20)</f>
        <v>52183974.449999996</v>
      </c>
      <c r="G22" s="1077">
        <f>SUM(G10:G20)</f>
        <v>52183974.449999996</v>
      </c>
      <c r="H22" s="1079">
        <f>E22-F22</f>
        <v>88759798.966497004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5373-5819-43A8-B373-9818B4B90034}">
  <dimension ref="B1:S97"/>
  <sheetViews>
    <sheetView workbookViewId="0">
      <selection activeCell="G10" sqref="G10"/>
    </sheetView>
  </sheetViews>
  <sheetFormatPr baseColWidth="10" defaultColWidth="11.42578125" defaultRowHeight="12"/>
  <cols>
    <col min="1" max="1" width="3.5703125" style="1" customWidth="1"/>
    <col min="2" max="2" width="38" style="1" customWidth="1"/>
    <col min="3" max="8" width="14.7109375" style="1" customWidth="1"/>
    <col min="9" max="9" width="3.7109375" style="1" customWidth="1"/>
    <col min="10" max="16384" width="11.42578125" style="1"/>
  </cols>
  <sheetData>
    <row r="1" spans="2:9" ht="11.25" customHeight="1" thickBot="1">
      <c r="I1" s="1246" t="s">
        <v>5161</v>
      </c>
    </row>
    <row r="2" spans="2:9">
      <c r="B2" s="1847" t="s">
        <v>2987</v>
      </c>
      <c r="C2" s="1848"/>
      <c r="D2" s="1848"/>
      <c r="E2" s="1848"/>
      <c r="F2" s="1848"/>
      <c r="G2" s="1848"/>
      <c r="H2" s="1849"/>
    </row>
    <row r="3" spans="2:9">
      <c r="B3" s="1850" t="s">
        <v>5083</v>
      </c>
      <c r="C3" s="1851"/>
      <c r="D3" s="1851"/>
      <c r="E3" s="1851"/>
      <c r="F3" s="1851"/>
      <c r="G3" s="1851"/>
      <c r="H3" s="1852"/>
    </row>
    <row r="4" spans="2:9">
      <c r="B4" s="1850" t="s">
        <v>815</v>
      </c>
      <c r="C4" s="1851"/>
      <c r="D4" s="1851"/>
      <c r="E4" s="1851"/>
      <c r="F4" s="1851"/>
      <c r="G4" s="1851"/>
      <c r="H4" s="1852"/>
    </row>
    <row r="5" spans="2:9">
      <c r="B5" s="1853"/>
      <c r="C5" s="1854"/>
      <c r="D5" s="1854"/>
      <c r="E5" s="1854"/>
      <c r="F5" s="1854"/>
      <c r="G5" s="1854"/>
      <c r="H5" s="1855"/>
    </row>
    <row r="6" spans="2:9" ht="12.75" thickBot="1">
      <c r="B6" s="1856" t="s">
        <v>4865</v>
      </c>
      <c r="C6" s="1857"/>
      <c r="D6" s="1857"/>
      <c r="E6" s="1857"/>
      <c r="F6" s="1857"/>
      <c r="G6" s="1857"/>
      <c r="H6" s="1858"/>
    </row>
    <row r="7" spans="2:9" ht="12.75" thickBot="1">
      <c r="B7" s="1842" t="s">
        <v>4866</v>
      </c>
      <c r="C7" s="1844" t="s">
        <v>75</v>
      </c>
      <c r="D7" s="1845"/>
      <c r="E7" s="1845"/>
      <c r="F7" s="1845"/>
      <c r="G7" s="1846"/>
      <c r="H7" s="1842" t="s">
        <v>5084</v>
      </c>
    </row>
    <row r="8" spans="2:9" ht="24.75" thickBot="1">
      <c r="B8" s="1843"/>
      <c r="C8" s="1284" t="s">
        <v>4980</v>
      </c>
      <c r="D8" s="1284" t="s">
        <v>818</v>
      </c>
      <c r="E8" s="1284" t="s">
        <v>793</v>
      </c>
      <c r="F8" s="1284" t="s">
        <v>236</v>
      </c>
      <c r="G8" s="1284" t="s">
        <v>819</v>
      </c>
      <c r="H8" s="1843"/>
    </row>
    <row r="9" spans="2:9" ht="24.75" customHeight="1">
      <c r="B9" s="1285" t="s">
        <v>5162</v>
      </c>
      <c r="C9" s="1286">
        <f>SUM(C10:C17)</f>
        <v>138260283.41649699</v>
      </c>
      <c r="D9" s="1286">
        <f>SUM(D10:D17)</f>
        <v>2683490</v>
      </c>
      <c r="E9" s="1287">
        <f>SUM(C9:D9)</f>
        <v>140943773.41649699</v>
      </c>
      <c r="F9" s="1286">
        <f t="shared" ref="F9:G9" si="0">SUM(F10:F17)</f>
        <v>52183974.449999996</v>
      </c>
      <c r="G9" s="1286">
        <f t="shared" si="0"/>
        <v>52183974.449999996</v>
      </c>
      <c r="H9" s="1287">
        <f>SUM(E9-F9)</f>
        <v>88759798.966497004</v>
      </c>
    </row>
    <row r="10" spans="2:9" ht="24">
      <c r="B10" s="1288" t="s">
        <v>3120</v>
      </c>
      <c r="C10" s="791">
        <f>+CAdmon!D12</f>
        <v>138260283.41649699</v>
      </c>
      <c r="D10" s="791">
        <f>+CAdmon!E12</f>
        <v>2683490</v>
      </c>
      <c r="E10" s="823">
        <f>SUM(C10:D10)</f>
        <v>140943773.41649699</v>
      </c>
      <c r="F10" s="791">
        <f>+CAdmon!G12</f>
        <v>52183974.449999996</v>
      </c>
      <c r="G10" s="791">
        <f>+CAdmon!H12</f>
        <v>52183974.449999996</v>
      </c>
      <c r="H10" s="823">
        <f>SUM(E10-F10)</f>
        <v>88759798.966497004</v>
      </c>
    </row>
    <row r="11" spans="2:9">
      <c r="B11" s="1288"/>
      <c r="C11" s="791">
        <v>0</v>
      </c>
      <c r="D11" s="791">
        <v>0</v>
      </c>
      <c r="E11" s="823">
        <f t="shared" ref="E11:E17" si="1">SUM(C11:D11)</f>
        <v>0</v>
      </c>
      <c r="F11" s="791">
        <v>0</v>
      </c>
      <c r="G11" s="791">
        <v>0</v>
      </c>
      <c r="H11" s="823">
        <f t="shared" ref="H11:H17" si="2">SUM(E11-F11)</f>
        <v>0</v>
      </c>
    </row>
    <row r="12" spans="2:9">
      <c r="B12" s="1288"/>
      <c r="C12" s="791">
        <v>0</v>
      </c>
      <c r="D12" s="791">
        <v>0</v>
      </c>
      <c r="E12" s="823">
        <f t="shared" si="1"/>
        <v>0</v>
      </c>
      <c r="F12" s="791">
        <v>0</v>
      </c>
      <c r="G12" s="791">
        <v>0</v>
      </c>
      <c r="H12" s="823">
        <f t="shared" si="2"/>
        <v>0</v>
      </c>
    </row>
    <row r="13" spans="2:9">
      <c r="B13" s="1288"/>
      <c r="C13" s="791">
        <v>0</v>
      </c>
      <c r="D13" s="791">
        <v>0</v>
      </c>
      <c r="E13" s="823">
        <f t="shared" si="1"/>
        <v>0</v>
      </c>
      <c r="F13" s="791">
        <v>0</v>
      </c>
      <c r="G13" s="791">
        <v>0</v>
      </c>
      <c r="H13" s="823">
        <f t="shared" si="2"/>
        <v>0</v>
      </c>
    </row>
    <row r="14" spans="2:9">
      <c r="B14" s="1288"/>
      <c r="C14" s="791">
        <v>0</v>
      </c>
      <c r="D14" s="791">
        <v>0</v>
      </c>
      <c r="E14" s="823">
        <f t="shared" si="1"/>
        <v>0</v>
      </c>
      <c r="F14" s="791">
        <v>0</v>
      </c>
      <c r="G14" s="791">
        <v>0</v>
      </c>
      <c r="H14" s="823">
        <f t="shared" si="2"/>
        <v>0</v>
      </c>
    </row>
    <row r="15" spans="2:9">
      <c r="B15" s="1288"/>
      <c r="C15" s="791">
        <v>0</v>
      </c>
      <c r="D15" s="791">
        <v>0</v>
      </c>
      <c r="E15" s="823">
        <f t="shared" si="1"/>
        <v>0</v>
      </c>
      <c r="F15" s="791">
        <v>0</v>
      </c>
      <c r="G15" s="791">
        <v>0</v>
      </c>
      <c r="H15" s="823">
        <f t="shared" si="2"/>
        <v>0</v>
      </c>
    </row>
    <row r="16" spans="2:9">
      <c r="B16" s="1288"/>
      <c r="C16" s="791">
        <v>0</v>
      </c>
      <c r="D16" s="791">
        <v>0</v>
      </c>
      <c r="E16" s="823">
        <f t="shared" si="1"/>
        <v>0</v>
      </c>
      <c r="F16" s="791">
        <v>0</v>
      </c>
      <c r="G16" s="791">
        <v>0</v>
      </c>
      <c r="H16" s="823">
        <f t="shared" si="2"/>
        <v>0</v>
      </c>
    </row>
    <row r="17" spans="2:8">
      <c r="B17" s="1288"/>
      <c r="C17" s="791">
        <v>0</v>
      </c>
      <c r="D17" s="791">
        <v>0</v>
      </c>
      <c r="E17" s="823">
        <f t="shared" si="1"/>
        <v>0</v>
      </c>
      <c r="F17" s="791">
        <v>0</v>
      </c>
      <c r="G17" s="791">
        <v>0</v>
      </c>
      <c r="H17" s="823">
        <f t="shared" si="2"/>
        <v>0</v>
      </c>
    </row>
    <row r="18" spans="2:8" ht="12" customHeight="1">
      <c r="B18" s="1289"/>
      <c r="C18" s="826"/>
      <c r="D18" s="826"/>
      <c r="E18" s="822"/>
      <c r="F18" s="826"/>
      <c r="G18" s="826"/>
      <c r="H18" s="822"/>
    </row>
    <row r="19" spans="2:8" ht="25.5" customHeight="1">
      <c r="B19" s="1130" t="s">
        <v>5171</v>
      </c>
      <c r="C19" s="1290">
        <f>SUM(C20:C27)</f>
        <v>0</v>
      </c>
      <c r="D19" s="1290">
        <f t="shared" ref="D19:G19" si="3">SUM(D20:D27)</f>
        <v>0</v>
      </c>
      <c r="E19" s="1291">
        <f t="shared" ref="E19:E27" si="4">SUM(C19:D19)</f>
        <v>0</v>
      </c>
      <c r="F19" s="1290">
        <f t="shared" si="3"/>
        <v>0</v>
      </c>
      <c r="G19" s="1290">
        <f t="shared" si="3"/>
        <v>0</v>
      </c>
      <c r="H19" s="1291">
        <f t="shared" ref="H19:H27" si="5">SUM(E19-F19)</f>
        <v>0</v>
      </c>
    </row>
    <row r="20" spans="2:8">
      <c r="B20" s="1288" t="s">
        <v>5163</v>
      </c>
      <c r="C20" s="791">
        <v>0</v>
      </c>
      <c r="D20" s="791">
        <v>0</v>
      </c>
      <c r="E20" s="823">
        <f t="shared" si="4"/>
        <v>0</v>
      </c>
      <c r="F20" s="791">
        <v>0</v>
      </c>
      <c r="G20" s="791">
        <v>0</v>
      </c>
      <c r="H20" s="823">
        <f t="shared" si="5"/>
        <v>0</v>
      </c>
    </row>
    <row r="21" spans="2:8">
      <c r="B21" s="1288" t="s">
        <v>5164</v>
      </c>
      <c r="C21" s="791">
        <v>0</v>
      </c>
      <c r="D21" s="791">
        <v>0</v>
      </c>
      <c r="E21" s="823">
        <f t="shared" si="4"/>
        <v>0</v>
      </c>
      <c r="F21" s="791">
        <v>0</v>
      </c>
      <c r="G21" s="791">
        <v>0</v>
      </c>
      <c r="H21" s="823">
        <f t="shared" si="5"/>
        <v>0</v>
      </c>
    </row>
    <row r="22" spans="2:8">
      <c r="B22" s="1288" t="s">
        <v>5165</v>
      </c>
      <c r="C22" s="791">
        <v>0</v>
      </c>
      <c r="D22" s="791">
        <v>0</v>
      </c>
      <c r="E22" s="823">
        <f t="shared" si="4"/>
        <v>0</v>
      </c>
      <c r="F22" s="791">
        <v>0</v>
      </c>
      <c r="G22" s="791">
        <v>0</v>
      </c>
      <c r="H22" s="823">
        <f t="shared" si="5"/>
        <v>0</v>
      </c>
    </row>
    <row r="23" spans="2:8">
      <c r="B23" s="1288" t="s">
        <v>5166</v>
      </c>
      <c r="C23" s="791">
        <v>0</v>
      </c>
      <c r="D23" s="791">
        <v>0</v>
      </c>
      <c r="E23" s="823">
        <f t="shared" si="4"/>
        <v>0</v>
      </c>
      <c r="F23" s="791">
        <v>0</v>
      </c>
      <c r="G23" s="791">
        <v>0</v>
      </c>
      <c r="H23" s="823">
        <f t="shared" si="5"/>
        <v>0</v>
      </c>
    </row>
    <row r="24" spans="2:8">
      <c r="B24" s="1288" t="s">
        <v>5167</v>
      </c>
      <c r="C24" s="791">
        <v>0</v>
      </c>
      <c r="D24" s="791">
        <v>0</v>
      </c>
      <c r="E24" s="823">
        <f t="shared" si="4"/>
        <v>0</v>
      </c>
      <c r="F24" s="791">
        <v>0</v>
      </c>
      <c r="G24" s="791">
        <v>0</v>
      </c>
      <c r="H24" s="823">
        <f t="shared" si="5"/>
        <v>0</v>
      </c>
    </row>
    <row r="25" spans="2:8">
      <c r="B25" s="1288" t="s">
        <v>5168</v>
      </c>
      <c r="C25" s="791">
        <v>0</v>
      </c>
      <c r="D25" s="791">
        <v>0</v>
      </c>
      <c r="E25" s="823">
        <f t="shared" si="4"/>
        <v>0</v>
      </c>
      <c r="F25" s="791">
        <v>0</v>
      </c>
      <c r="G25" s="791">
        <v>0</v>
      </c>
      <c r="H25" s="823">
        <f t="shared" si="5"/>
        <v>0</v>
      </c>
    </row>
    <row r="26" spans="2:8">
      <c r="B26" s="1288" t="s">
        <v>5169</v>
      </c>
      <c r="C26" s="791">
        <v>0</v>
      </c>
      <c r="D26" s="791">
        <v>0</v>
      </c>
      <c r="E26" s="823">
        <f t="shared" si="4"/>
        <v>0</v>
      </c>
      <c r="F26" s="791">
        <v>0</v>
      </c>
      <c r="G26" s="791">
        <v>0</v>
      </c>
      <c r="H26" s="823">
        <f t="shared" si="5"/>
        <v>0</v>
      </c>
    </row>
    <row r="27" spans="2:8">
      <c r="B27" s="1288" t="s">
        <v>5170</v>
      </c>
      <c r="C27" s="791">
        <v>0</v>
      </c>
      <c r="D27" s="791">
        <v>0</v>
      </c>
      <c r="E27" s="823">
        <f t="shared" si="4"/>
        <v>0</v>
      </c>
      <c r="F27" s="791">
        <v>0</v>
      </c>
      <c r="G27" s="791">
        <v>0</v>
      </c>
      <c r="H27" s="823">
        <f t="shared" si="5"/>
        <v>0</v>
      </c>
    </row>
    <row r="28" spans="2:8" ht="12" customHeight="1">
      <c r="B28" s="1292"/>
      <c r="C28" s="826"/>
      <c r="D28" s="826"/>
      <c r="E28" s="822"/>
      <c r="F28" s="826"/>
      <c r="G28" s="826"/>
      <c r="H28" s="822"/>
    </row>
    <row r="29" spans="2:8">
      <c r="B29" s="1126" t="s">
        <v>5160</v>
      </c>
      <c r="C29" s="825">
        <f>SUM(C9,C19)</f>
        <v>138260283.41649699</v>
      </c>
      <c r="D29" s="825">
        <f t="shared" ref="D29:H29" si="6">SUM(D9,D19)</f>
        <v>2683490</v>
      </c>
      <c r="E29" s="825">
        <f t="shared" si="6"/>
        <v>140943773.41649699</v>
      </c>
      <c r="F29" s="825">
        <f t="shared" si="6"/>
        <v>52183974.449999996</v>
      </c>
      <c r="G29" s="825">
        <f t="shared" si="6"/>
        <v>52183974.449999996</v>
      </c>
      <c r="H29" s="825">
        <f t="shared" si="6"/>
        <v>88759798.966497004</v>
      </c>
    </row>
    <row r="30" spans="2:8" ht="12.75" thickBot="1">
      <c r="B30" s="967"/>
      <c r="C30" s="1293"/>
      <c r="D30" s="1293"/>
      <c r="E30" s="1293"/>
      <c r="F30" s="1293"/>
      <c r="G30" s="1293"/>
      <c r="H30" s="1293"/>
    </row>
    <row r="31" spans="2:8" ht="11.25" customHeight="1"/>
    <row r="97" spans="19:19">
      <c r="S97" s="1" t="s">
        <v>5172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21"/>
  <sheetViews>
    <sheetView workbookViewId="0">
      <selection activeCell="H12" sqref="H12"/>
    </sheetView>
  </sheetViews>
  <sheetFormatPr baseColWidth="10" defaultRowHeight="15"/>
  <cols>
    <col min="1" max="1" width="2.5703125" style="354" customWidth="1"/>
    <col min="2" max="2" width="2" style="346" customWidth="1"/>
    <col min="3" max="3" width="45.85546875" style="346" customWidth="1"/>
    <col min="4" max="9" width="12.7109375" style="346" customWidth="1"/>
    <col min="10" max="10" width="4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42"/>
      <c r="C2" s="1743"/>
      <c r="D2" s="1743"/>
      <c r="E2" s="1743"/>
      <c r="F2" s="1743"/>
      <c r="G2" s="1743"/>
      <c r="H2" s="1743"/>
      <c r="I2" s="1744"/>
    </row>
    <row r="3" spans="2:9">
      <c r="B3" s="1745" t="s">
        <v>2987</v>
      </c>
      <c r="C3" s="1746"/>
      <c r="D3" s="1746"/>
      <c r="E3" s="1746"/>
      <c r="F3" s="1746"/>
      <c r="G3" s="1746"/>
      <c r="H3" s="1746"/>
      <c r="I3" s="1747"/>
    </row>
    <row r="4" spans="2:9">
      <c r="B4" s="1745" t="s">
        <v>814</v>
      </c>
      <c r="C4" s="1746"/>
      <c r="D4" s="1746"/>
      <c r="E4" s="1746"/>
      <c r="F4" s="1746"/>
      <c r="G4" s="1746"/>
      <c r="H4" s="1746"/>
      <c r="I4" s="1747"/>
    </row>
    <row r="5" spans="2:9">
      <c r="B5" s="1745" t="s">
        <v>823</v>
      </c>
      <c r="C5" s="1746"/>
      <c r="D5" s="1746"/>
      <c r="E5" s="1746"/>
      <c r="F5" s="1746"/>
      <c r="G5" s="1746"/>
      <c r="H5" s="1746"/>
      <c r="I5" s="1747"/>
    </row>
    <row r="6" spans="2:9">
      <c r="B6" s="1748" t="str">
        <f>+EA!C3</f>
        <v>Del 1 de enero al 31 de diciembre de 2021</v>
      </c>
      <c r="C6" s="1749"/>
      <c r="D6" s="1749"/>
      <c r="E6" s="1749"/>
      <c r="F6" s="1749"/>
      <c r="G6" s="1749"/>
      <c r="H6" s="1749"/>
      <c r="I6" s="1750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59" t="s">
        <v>230</v>
      </c>
      <c r="C8" s="1860"/>
      <c r="D8" s="1828" t="s">
        <v>824</v>
      </c>
      <c r="E8" s="1828"/>
      <c r="F8" s="1828"/>
      <c r="G8" s="1828"/>
      <c r="H8" s="1828"/>
      <c r="I8" s="1828" t="s">
        <v>816</v>
      </c>
    </row>
    <row r="9" spans="2:9" ht="22.5">
      <c r="B9" s="1861"/>
      <c r="C9" s="1862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8"/>
    </row>
    <row r="10" spans="2:9">
      <c r="B10" s="1863"/>
      <c r="C10" s="1864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70"/>
      <c r="C11" s="371"/>
      <c r="D11" s="372"/>
      <c r="E11" s="372"/>
      <c r="F11" s="372"/>
      <c r="G11" s="372"/>
      <c r="H11" s="372"/>
      <c r="I11" s="372"/>
    </row>
    <row r="12" spans="2:9">
      <c r="B12" s="355"/>
      <c r="C12" s="373" t="s">
        <v>825</v>
      </c>
      <c r="D12" s="374">
        <f>+COG!D32</f>
        <v>138260283.41649699</v>
      </c>
      <c r="E12" s="374">
        <f>+COG!E32</f>
        <v>2683490</v>
      </c>
      <c r="F12" s="374">
        <f>+D12+E12</f>
        <v>140943773.41649699</v>
      </c>
      <c r="G12" s="374">
        <f>+COG!G32</f>
        <v>52183974.449999996</v>
      </c>
      <c r="H12" s="374">
        <f>+COG!H32</f>
        <v>52183974.449999996</v>
      </c>
      <c r="I12" s="374">
        <f>+F12-G12</f>
        <v>88759798.966497004</v>
      </c>
    </row>
    <row r="13" spans="2:9">
      <c r="B13" s="355"/>
      <c r="C13" s="356"/>
      <c r="D13" s="374"/>
      <c r="E13" s="374"/>
      <c r="F13" s="374"/>
      <c r="G13" s="374"/>
      <c r="H13" s="374"/>
      <c r="I13" s="374"/>
    </row>
    <row r="14" spans="2:9">
      <c r="B14" s="375"/>
      <c r="C14" s="373" t="s">
        <v>826</v>
      </c>
      <c r="D14" s="374"/>
      <c r="E14" s="374"/>
      <c r="F14" s="374">
        <f>+D14+E14</f>
        <v>0</v>
      </c>
      <c r="G14" s="374"/>
      <c r="H14" s="374"/>
      <c r="I14" s="374">
        <f>+F14-G14</f>
        <v>0</v>
      </c>
    </row>
    <row r="15" spans="2:9">
      <c r="B15" s="355"/>
      <c r="C15" s="356"/>
      <c r="D15" s="374"/>
      <c r="E15" s="374"/>
      <c r="F15" s="374"/>
      <c r="G15" s="374"/>
      <c r="H15" s="374"/>
      <c r="I15" s="374"/>
    </row>
    <row r="16" spans="2:9">
      <c r="B16" s="375"/>
      <c r="C16" s="373" t="s">
        <v>827</v>
      </c>
      <c r="D16" s="374"/>
      <c r="E16" s="374"/>
      <c r="F16" s="374">
        <f>+D16+E16</f>
        <v>0</v>
      </c>
      <c r="G16" s="374"/>
      <c r="H16" s="374"/>
      <c r="I16" s="374">
        <f>+F16-G16</f>
        <v>0</v>
      </c>
    </row>
    <row r="17" spans="1:10">
      <c r="B17" s="376"/>
      <c r="C17" s="377"/>
      <c r="D17" s="378"/>
      <c r="E17" s="378"/>
      <c r="F17" s="378"/>
      <c r="G17" s="378"/>
      <c r="H17" s="378"/>
      <c r="I17" s="378"/>
    </row>
    <row r="18" spans="1:10" s="369" customFormat="1">
      <c r="A18" s="365"/>
      <c r="B18" s="376"/>
      <c r="C18" s="377" t="s">
        <v>822</v>
      </c>
      <c r="D18" s="379">
        <f>+D12+D14+D16</f>
        <v>138260283.41649699</v>
      </c>
      <c r="E18" s="379">
        <f t="shared" ref="E18:I18" si="0">+E12+E14+E16</f>
        <v>2683490</v>
      </c>
      <c r="F18" s="379">
        <f t="shared" si="0"/>
        <v>140943773.41649699</v>
      </c>
      <c r="G18" s="379">
        <f t="shared" si="0"/>
        <v>52183974.449999996</v>
      </c>
      <c r="H18" s="379">
        <f t="shared" si="0"/>
        <v>52183974.449999996</v>
      </c>
      <c r="I18" s="379">
        <f t="shared" si="0"/>
        <v>88759798.966497004</v>
      </c>
      <c r="J18" s="365"/>
    </row>
    <row r="19" spans="1:10" s="354" customFormat="1">
      <c r="B19" s="317"/>
      <c r="C19" s="317"/>
      <c r="D19" s="317"/>
      <c r="E19" s="317"/>
      <c r="F19" s="317"/>
      <c r="G19" s="317"/>
      <c r="H19" s="317"/>
      <c r="I19" s="317"/>
    </row>
    <row r="21" spans="1:10">
      <c r="D21" s="380" t="str">
        <f>IF(D18=CAdmon!D22," ","ERROR")</f>
        <v xml:space="preserve"> </v>
      </c>
      <c r="E21" s="380" t="str">
        <f>IF(E18=CAdmon!E22," ","ERROR")</f>
        <v xml:space="preserve"> </v>
      </c>
      <c r="F21" s="380" t="str">
        <f>IF(F18=CAdmon!F22," ","ERROR")</f>
        <v xml:space="preserve"> </v>
      </c>
      <c r="G21" s="380" t="str">
        <f>IF(G18=CAdmon!G22," ","ERROR")</f>
        <v xml:space="preserve"> </v>
      </c>
      <c r="H21" s="380" t="str">
        <f>IF(H18=CAdmon!H22," ","ERROR")</f>
        <v xml:space="preserve"> </v>
      </c>
      <c r="I21" s="38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2597-B687-45FF-89E8-3C550ED4B344}">
  <dimension ref="B2:H20"/>
  <sheetViews>
    <sheetView workbookViewId="0">
      <selection activeCell="G22" sqref="G22"/>
    </sheetView>
  </sheetViews>
  <sheetFormatPr baseColWidth="10" defaultColWidth="11.5703125" defaultRowHeight="12"/>
  <cols>
    <col min="1" max="1" width="4.7109375" style="1061" customWidth="1"/>
    <col min="2" max="2" width="39.5703125" style="1061" customWidth="1"/>
    <col min="3" max="3" width="14.42578125" style="1061" bestFit="1" customWidth="1"/>
    <col min="4" max="4" width="13.5703125" style="1061" customWidth="1"/>
    <col min="5" max="8" width="14.42578125" style="1061" bestFit="1" customWidth="1"/>
    <col min="9" max="9" width="4.7109375" style="1061" customWidth="1"/>
    <col min="10" max="16384" width="11.5703125" style="1061"/>
  </cols>
  <sheetData>
    <row r="2" spans="2:8">
      <c r="B2" s="1769" t="s">
        <v>2987</v>
      </c>
      <c r="C2" s="1770"/>
      <c r="D2" s="1770"/>
      <c r="E2" s="1770"/>
      <c r="F2" s="1770"/>
      <c r="G2" s="1770"/>
      <c r="H2" s="1771"/>
    </row>
    <row r="3" spans="2:8">
      <c r="B3" s="1809" t="s">
        <v>4792</v>
      </c>
      <c r="C3" s="1810"/>
      <c r="D3" s="1810"/>
      <c r="E3" s="1810"/>
      <c r="F3" s="1810"/>
      <c r="G3" s="1810"/>
      <c r="H3" s="1836"/>
    </row>
    <row r="4" spans="2:8">
      <c r="B4" s="1809" t="s">
        <v>823</v>
      </c>
      <c r="C4" s="1810"/>
      <c r="D4" s="1810"/>
      <c r="E4" s="1810"/>
      <c r="F4" s="1810"/>
      <c r="G4" s="1810"/>
      <c r="H4" s="1836"/>
    </row>
    <row r="5" spans="2:8" ht="12.75" thickBot="1">
      <c r="B5" s="1839"/>
      <c r="C5" s="1840"/>
      <c r="D5" s="1840"/>
      <c r="E5" s="1840"/>
      <c r="F5" s="1840"/>
      <c r="G5" s="1840"/>
      <c r="H5" s="1841"/>
    </row>
    <row r="6" spans="2:8" ht="12.75" thickBot="1">
      <c r="B6" s="1818" t="s">
        <v>230</v>
      </c>
      <c r="C6" s="1820" t="s">
        <v>75</v>
      </c>
      <c r="D6" s="1821"/>
      <c r="E6" s="1821"/>
      <c r="F6" s="1821"/>
      <c r="G6" s="1822"/>
      <c r="H6" s="1823" t="s">
        <v>4793</v>
      </c>
    </row>
    <row r="7" spans="2:8" ht="24.75" thickBot="1">
      <c r="B7" s="1831"/>
      <c r="C7" s="1062" t="s">
        <v>4794</v>
      </c>
      <c r="D7" s="1062" t="s">
        <v>4795</v>
      </c>
      <c r="E7" s="1062" t="s">
        <v>4796</v>
      </c>
      <c r="F7" s="1062" t="s">
        <v>236</v>
      </c>
      <c r="G7" s="1062" t="s">
        <v>4797</v>
      </c>
      <c r="H7" s="1824"/>
    </row>
    <row r="8" spans="2:8" ht="12.75" thickBot="1">
      <c r="B8" s="1819"/>
      <c r="C8" s="1063">
        <v>1</v>
      </c>
      <c r="D8" s="1063">
        <v>2</v>
      </c>
      <c r="E8" s="1063" t="s">
        <v>4798</v>
      </c>
      <c r="F8" s="1063">
        <v>4</v>
      </c>
      <c r="G8" s="1063">
        <v>5</v>
      </c>
      <c r="H8" s="1064" t="s">
        <v>4799</v>
      </c>
    </row>
    <row r="9" spans="2:8">
      <c r="B9" s="1086"/>
      <c r="C9" s="1087"/>
      <c r="D9" s="1088"/>
      <c r="E9" s="1087"/>
      <c r="F9" s="1088"/>
      <c r="G9" s="1087"/>
      <c r="H9" s="1089"/>
    </row>
    <row r="10" spans="2:8">
      <c r="B10" s="1090" t="s">
        <v>825</v>
      </c>
      <c r="C10" s="1091">
        <f>+CTG!D12-C16</f>
        <v>137483289.13227999</v>
      </c>
      <c r="D10" s="1092">
        <f>+CTG!E12-D16</f>
        <v>2683490</v>
      </c>
      <c r="E10" s="1093">
        <f>C10+D10</f>
        <v>140166779.13227999</v>
      </c>
      <c r="F10" s="1092">
        <f>+CTG!G12-F16</f>
        <v>51539311.389999993</v>
      </c>
      <c r="G10" s="1091">
        <f>+CTG!H12-G16</f>
        <v>51539311.389999993</v>
      </c>
      <c r="H10" s="1094">
        <f>E10-F10</f>
        <v>88627467.742280006</v>
      </c>
    </row>
    <row r="11" spans="2:8">
      <c r="B11" s="1095"/>
      <c r="C11" s="1093"/>
      <c r="D11" s="1096"/>
      <c r="E11" s="1093"/>
      <c r="F11" s="1096"/>
      <c r="G11" s="1093"/>
      <c r="H11" s="1094"/>
    </row>
    <row r="12" spans="2:8">
      <c r="B12" s="1090" t="s">
        <v>826</v>
      </c>
      <c r="C12" s="1091">
        <v>0</v>
      </c>
      <c r="D12" s="1092">
        <v>0</v>
      </c>
      <c r="E12" s="1093">
        <f>C12+D12</f>
        <v>0</v>
      </c>
      <c r="F12" s="1092">
        <v>0</v>
      </c>
      <c r="G12" s="1091">
        <v>0</v>
      </c>
      <c r="H12" s="1094">
        <f>E12-F12</f>
        <v>0</v>
      </c>
    </row>
    <row r="13" spans="2:8">
      <c r="B13" s="1095"/>
      <c r="C13" s="1093"/>
      <c r="D13" s="1096"/>
      <c r="E13" s="1093"/>
      <c r="F13" s="1096"/>
      <c r="G13" s="1093"/>
      <c r="H13" s="1094"/>
    </row>
    <row r="14" spans="2:8" ht="24">
      <c r="B14" s="1090" t="s">
        <v>827</v>
      </c>
      <c r="C14" s="1091">
        <v>0</v>
      </c>
      <c r="D14" s="1092">
        <v>0</v>
      </c>
      <c r="E14" s="1093">
        <f>C14+D14</f>
        <v>0</v>
      </c>
      <c r="F14" s="1092">
        <v>0</v>
      </c>
      <c r="G14" s="1091">
        <v>0</v>
      </c>
      <c r="H14" s="1094">
        <f>E14-F14</f>
        <v>0</v>
      </c>
    </row>
    <row r="15" spans="2:8">
      <c r="B15" s="1095"/>
      <c r="C15" s="1093"/>
      <c r="D15" s="1096"/>
      <c r="E15" s="1093"/>
      <c r="F15" s="1096"/>
      <c r="G15" s="1093"/>
      <c r="H15" s="1094"/>
    </row>
    <row r="16" spans="2:8">
      <c r="B16" s="1090" t="s">
        <v>630</v>
      </c>
      <c r="C16" s="1091">
        <f>+COG!D31</f>
        <v>776994.28421700012</v>
      </c>
      <c r="D16" s="1092">
        <f>+COG!E31</f>
        <v>0</v>
      </c>
      <c r="E16" s="1093">
        <f>C16+D16</f>
        <v>776994.28421700012</v>
      </c>
      <c r="F16" s="1092">
        <f>+COG!G31</f>
        <v>644663.06000000006</v>
      </c>
      <c r="G16" s="1091">
        <f>+COG!H31</f>
        <v>644663.06000000006</v>
      </c>
      <c r="H16" s="1094">
        <f>E16-F16</f>
        <v>132331.22421700007</v>
      </c>
    </row>
    <row r="17" spans="2:8">
      <c r="B17" s="1095"/>
      <c r="C17" s="1093"/>
      <c r="D17" s="1096"/>
      <c r="E17" s="1093"/>
      <c r="F17" s="1096"/>
      <c r="G17" s="1093"/>
      <c r="H17" s="1094"/>
    </row>
    <row r="18" spans="2:8">
      <c r="B18" s="1090" t="s">
        <v>641</v>
      </c>
      <c r="C18" s="1091">
        <v>0</v>
      </c>
      <c r="D18" s="1092">
        <v>0</v>
      </c>
      <c r="E18" s="1093">
        <f>C18+D18</f>
        <v>0</v>
      </c>
      <c r="F18" s="1092">
        <v>0</v>
      </c>
      <c r="G18" s="1091">
        <v>0</v>
      </c>
      <c r="H18" s="1094">
        <f>E18-F18</f>
        <v>0</v>
      </c>
    </row>
    <row r="19" spans="2:8" ht="12.75" thickBot="1">
      <c r="B19" s="1095"/>
      <c r="C19" s="1093"/>
      <c r="D19" s="1096"/>
      <c r="E19" s="1093"/>
      <c r="F19" s="1096"/>
      <c r="G19" s="1093"/>
      <c r="H19" s="1094"/>
    </row>
    <row r="20" spans="2:8" ht="12.75" thickBot="1">
      <c r="B20" s="1097" t="s">
        <v>4800</v>
      </c>
      <c r="C20" s="1098">
        <f>SUM(C18,C16,C14,C10,C12)</f>
        <v>138260283.41649699</v>
      </c>
      <c r="D20" s="1099">
        <f>SUM(D18,D16,D14,D12,D10)</f>
        <v>2683490</v>
      </c>
      <c r="E20" s="1098">
        <f>SUM(E18,E16,E14,E12,E10)</f>
        <v>140943773.41649699</v>
      </c>
      <c r="F20" s="1099">
        <f>SUM(F18,F16,F14,F12,F10)</f>
        <v>52183974.449999996</v>
      </c>
      <c r="G20" s="1098">
        <f>SUM(G18,G16,G14,G12,G10)</f>
        <v>52183974.449999996</v>
      </c>
      <c r="H20" s="1100">
        <f>E20-F20</f>
        <v>88759798.966497004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J50"/>
  <sheetViews>
    <sheetView topLeftCell="A22" workbookViewId="0">
      <selection activeCell="E40" sqref="E40"/>
    </sheetView>
  </sheetViews>
  <sheetFormatPr baseColWidth="10" defaultRowHeight="15"/>
  <cols>
    <col min="1" max="1" width="1.5703125" style="354" customWidth="1"/>
    <col min="2" max="2" width="4.5703125" style="405" customWidth="1"/>
    <col min="3" max="3" width="60.28515625" style="346" customWidth="1"/>
    <col min="4" max="9" width="12.7109375" style="346" customWidth="1"/>
    <col min="10" max="10" width="3.28515625" style="354" customWidth="1"/>
    <col min="11" max="16384" width="11.42578125" style="361"/>
  </cols>
  <sheetData>
    <row r="1" spans="1:10" s="354" customFormat="1" ht="8.25" customHeight="1">
      <c r="B1" s="317"/>
      <c r="C1" s="317"/>
      <c r="D1" s="317"/>
      <c r="E1" s="317"/>
      <c r="F1" s="317"/>
      <c r="G1" s="317"/>
      <c r="H1" s="317"/>
      <c r="I1" s="317"/>
    </row>
    <row r="2" spans="1:10">
      <c r="B2" s="1742"/>
      <c r="C2" s="1743"/>
      <c r="D2" s="1743"/>
      <c r="E2" s="1743"/>
      <c r="F2" s="1743"/>
      <c r="G2" s="1743"/>
      <c r="H2" s="1743"/>
      <c r="I2" s="1744"/>
    </row>
    <row r="3" spans="1:10">
      <c r="B3" s="1745" t="s">
        <v>2987</v>
      </c>
      <c r="C3" s="1746"/>
      <c r="D3" s="1746"/>
      <c r="E3" s="1746"/>
      <c r="F3" s="1746"/>
      <c r="G3" s="1746"/>
      <c r="H3" s="1746"/>
      <c r="I3" s="1747"/>
    </row>
    <row r="4" spans="1:10">
      <c r="B4" s="1745" t="s">
        <v>814</v>
      </c>
      <c r="C4" s="1746"/>
      <c r="D4" s="1746"/>
      <c r="E4" s="1746"/>
      <c r="F4" s="1746"/>
      <c r="G4" s="1746"/>
      <c r="H4" s="1746"/>
      <c r="I4" s="1747"/>
    </row>
    <row r="5" spans="1:10">
      <c r="B5" s="1745" t="s">
        <v>844</v>
      </c>
      <c r="C5" s="1746"/>
      <c r="D5" s="1746"/>
      <c r="E5" s="1746"/>
      <c r="F5" s="1746"/>
      <c r="G5" s="1746"/>
      <c r="H5" s="1746"/>
      <c r="I5" s="1747"/>
    </row>
    <row r="6" spans="1:10">
      <c r="B6" s="1748" t="str">
        <f>+EA!C3</f>
        <v>Del 1 de enero al 31 de diciembre de 2021</v>
      </c>
      <c r="C6" s="1749"/>
      <c r="D6" s="1749"/>
      <c r="E6" s="1749"/>
      <c r="F6" s="1749"/>
      <c r="G6" s="1749"/>
      <c r="H6" s="1749"/>
      <c r="I6" s="1750"/>
    </row>
    <row r="7" spans="1:10" s="354" customFormat="1" ht="12.75" customHeight="1">
      <c r="B7" s="317"/>
      <c r="C7" s="452"/>
      <c r="D7" s="317"/>
      <c r="E7" s="317"/>
      <c r="F7" s="317"/>
      <c r="G7" s="317"/>
      <c r="H7" s="317"/>
      <c r="I7" s="317"/>
    </row>
    <row r="8" spans="1:10">
      <c r="B8" s="1827" t="s">
        <v>230</v>
      </c>
      <c r="C8" s="1827"/>
      <c r="D8" s="1828" t="s">
        <v>75</v>
      </c>
      <c r="E8" s="1828"/>
      <c r="F8" s="1828"/>
      <c r="G8" s="1828"/>
      <c r="H8" s="1828"/>
      <c r="I8" s="1828" t="s">
        <v>816</v>
      </c>
    </row>
    <row r="9" spans="1:10" ht="22.5">
      <c r="B9" s="1827"/>
      <c r="C9" s="1827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8"/>
    </row>
    <row r="10" spans="1:10">
      <c r="B10" s="1827"/>
      <c r="C10" s="1827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1:10" ht="3" customHeight="1">
      <c r="B11" s="388"/>
      <c r="C11" s="371"/>
      <c r="D11" s="372"/>
      <c r="E11" s="372"/>
      <c r="F11" s="372"/>
      <c r="G11" s="372"/>
      <c r="H11" s="372"/>
      <c r="I11" s="372"/>
    </row>
    <row r="12" spans="1:10" s="391" customFormat="1">
      <c r="A12" s="389"/>
      <c r="B12" s="1865" t="s">
        <v>845</v>
      </c>
      <c r="C12" s="1866"/>
      <c r="D12" s="390">
        <f>SUM(D13:D20)</f>
        <v>0</v>
      </c>
      <c r="E12" s="390">
        <f t="shared" ref="E12:I12" si="0">SUM(E13:E20)</f>
        <v>0</v>
      </c>
      <c r="F12" s="390">
        <f t="shared" si="0"/>
        <v>0</v>
      </c>
      <c r="G12" s="390">
        <f t="shared" si="0"/>
        <v>0</v>
      </c>
      <c r="H12" s="390">
        <f t="shared" si="0"/>
        <v>0</v>
      </c>
      <c r="I12" s="390">
        <f t="shared" si="0"/>
        <v>0</v>
      </c>
      <c r="J12" s="389"/>
    </row>
    <row r="13" spans="1:10" s="391" customFormat="1">
      <c r="A13" s="389"/>
      <c r="B13" s="392"/>
      <c r="C13" s="393" t="s">
        <v>846</v>
      </c>
      <c r="D13" s="360"/>
      <c r="E13" s="360"/>
      <c r="F13" s="360">
        <f>+D13+E13</f>
        <v>0</v>
      </c>
      <c r="G13" s="360"/>
      <c r="H13" s="360"/>
      <c r="I13" s="360">
        <f>+F13-G13</f>
        <v>0</v>
      </c>
      <c r="J13" s="389"/>
    </row>
    <row r="14" spans="1:10" s="391" customFormat="1">
      <c r="A14" s="389"/>
      <c r="B14" s="392"/>
      <c r="C14" s="393" t="s">
        <v>847</v>
      </c>
      <c r="D14" s="360"/>
      <c r="E14" s="360"/>
      <c r="F14" s="360">
        <f t="shared" ref="F14:F20" si="1">+D14+E14</f>
        <v>0</v>
      </c>
      <c r="G14" s="360"/>
      <c r="H14" s="360"/>
      <c r="I14" s="360">
        <f t="shared" ref="I14:I20" si="2">+F14-G14</f>
        <v>0</v>
      </c>
      <c r="J14" s="389"/>
    </row>
    <row r="15" spans="1:10" s="391" customFormat="1">
      <c r="A15" s="389"/>
      <c r="B15" s="392"/>
      <c r="C15" s="393" t="s">
        <v>848</v>
      </c>
      <c r="D15" s="360"/>
      <c r="E15" s="360"/>
      <c r="F15" s="360">
        <f t="shared" si="1"/>
        <v>0</v>
      </c>
      <c r="G15" s="360"/>
      <c r="H15" s="360"/>
      <c r="I15" s="360">
        <f t="shared" si="2"/>
        <v>0</v>
      </c>
      <c r="J15" s="389"/>
    </row>
    <row r="16" spans="1:10" s="391" customFormat="1">
      <c r="A16" s="389"/>
      <c r="B16" s="392"/>
      <c r="C16" s="393" t="s">
        <v>849</v>
      </c>
      <c r="D16" s="360"/>
      <c r="E16" s="360"/>
      <c r="F16" s="360">
        <f t="shared" si="1"/>
        <v>0</v>
      </c>
      <c r="G16" s="360"/>
      <c r="H16" s="360"/>
      <c r="I16" s="360">
        <f t="shared" si="2"/>
        <v>0</v>
      </c>
      <c r="J16" s="389"/>
    </row>
    <row r="17" spans="1:10" s="391" customFormat="1">
      <c r="A17" s="389"/>
      <c r="B17" s="392"/>
      <c r="C17" s="393" t="s">
        <v>850</v>
      </c>
      <c r="D17" s="360"/>
      <c r="E17" s="360"/>
      <c r="F17" s="360">
        <f t="shared" si="1"/>
        <v>0</v>
      </c>
      <c r="G17" s="360"/>
      <c r="H17" s="360"/>
      <c r="I17" s="360">
        <f t="shared" si="2"/>
        <v>0</v>
      </c>
      <c r="J17" s="389"/>
    </row>
    <row r="18" spans="1:10" s="391" customFormat="1">
      <c r="A18" s="389"/>
      <c r="B18" s="392"/>
      <c r="C18" s="393" t="s">
        <v>851</v>
      </c>
      <c r="D18" s="360"/>
      <c r="E18" s="360"/>
      <c r="F18" s="360">
        <f t="shared" si="1"/>
        <v>0</v>
      </c>
      <c r="G18" s="360"/>
      <c r="H18" s="360"/>
      <c r="I18" s="360">
        <f t="shared" si="2"/>
        <v>0</v>
      </c>
      <c r="J18" s="389"/>
    </row>
    <row r="19" spans="1:10" s="391" customFormat="1">
      <c r="A19" s="389"/>
      <c r="B19" s="392"/>
      <c r="C19" s="393" t="s">
        <v>852</v>
      </c>
      <c r="D19" s="360"/>
      <c r="E19" s="360"/>
      <c r="F19" s="360">
        <f t="shared" si="1"/>
        <v>0</v>
      </c>
      <c r="G19" s="360"/>
      <c r="H19" s="360"/>
      <c r="I19" s="360">
        <f t="shared" si="2"/>
        <v>0</v>
      </c>
      <c r="J19" s="389"/>
    </row>
    <row r="20" spans="1:10" s="391" customFormat="1">
      <c r="A20" s="389"/>
      <c r="B20" s="392"/>
      <c r="C20" s="393" t="s">
        <v>137</v>
      </c>
      <c r="D20" s="360"/>
      <c r="E20" s="360"/>
      <c r="F20" s="360">
        <f t="shared" si="1"/>
        <v>0</v>
      </c>
      <c r="G20" s="360"/>
      <c r="H20" s="360"/>
      <c r="I20" s="360">
        <f t="shared" si="2"/>
        <v>0</v>
      </c>
      <c r="J20" s="389"/>
    </row>
    <row r="21" spans="1:10" s="391" customFormat="1">
      <c r="A21" s="389"/>
      <c r="B21" s="392"/>
      <c r="C21" s="393"/>
      <c r="D21" s="360"/>
      <c r="E21" s="360"/>
      <c r="F21" s="360"/>
      <c r="G21" s="360"/>
      <c r="H21" s="360"/>
      <c r="I21" s="360"/>
      <c r="J21" s="389"/>
    </row>
    <row r="22" spans="1:10" s="395" customFormat="1">
      <c r="A22" s="394"/>
      <c r="B22" s="1865" t="s">
        <v>853</v>
      </c>
      <c r="C22" s="1866"/>
      <c r="D22" s="390">
        <f>SUM(D23:D29)</f>
        <v>0</v>
      </c>
      <c r="E22" s="390">
        <f t="shared" ref="E22" si="3">SUM(E23:E29)</f>
        <v>0</v>
      </c>
      <c r="F22" s="390">
        <f>+D22+E22</f>
        <v>0</v>
      </c>
      <c r="G22" s="390">
        <f t="shared" ref="G22:H22" si="4">SUM(G23:G29)</f>
        <v>0</v>
      </c>
      <c r="H22" s="390">
        <f t="shared" si="4"/>
        <v>0</v>
      </c>
      <c r="I22" s="390">
        <f>+F22-G22</f>
        <v>0</v>
      </c>
      <c r="J22" s="394"/>
    </row>
    <row r="23" spans="1:10" s="391" customFormat="1">
      <c r="A23" s="389"/>
      <c r="B23" s="392"/>
      <c r="C23" s="393" t="s">
        <v>854</v>
      </c>
      <c r="D23" s="396"/>
      <c r="E23" s="396"/>
      <c r="F23" s="360">
        <f t="shared" ref="F23:F29" si="5">+D23+E23</f>
        <v>0</v>
      </c>
      <c r="G23" s="396"/>
      <c r="H23" s="396"/>
      <c r="I23" s="360">
        <f t="shared" ref="I23:I29" si="6">+F23-G23</f>
        <v>0</v>
      </c>
      <c r="J23" s="389"/>
    </row>
    <row r="24" spans="1:10" s="391" customFormat="1">
      <c r="A24" s="389"/>
      <c r="B24" s="392"/>
      <c r="C24" s="393" t="s">
        <v>855</v>
      </c>
      <c r="D24" s="396"/>
      <c r="E24" s="396"/>
      <c r="F24" s="360">
        <f t="shared" si="5"/>
        <v>0</v>
      </c>
      <c r="G24" s="396"/>
      <c r="H24" s="396"/>
      <c r="I24" s="360">
        <f t="shared" si="6"/>
        <v>0</v>
      </c>
      <c r="J24" s="389"/>
    </row>
    <row r="25" spans="1:10" s="391" customFormat="1">
      <c r="A25" s="389"/>
      <c r="B25" s="392"/>
      <c r="C25" s="393" t="s">
        <v>856</v>
      </c>
      <c r="D25" s="396"/>
      <c r="E25" s="396"/>
      <c r="F25" s="360">
        <f t="shared" si="5"/>
        <v>0</v>
      </c>
      <c r="G25" s="396"/>
      <c r="H25" s="396"/>
      <c r="I25" s="360">
        <f t="shared" si="6"/>
        <v>0</v>
      </c>
      <c r="J25" s="389"/>
    </row>
    <row r="26" spans="1:10" s="391" customFormat="1">
      <c r="A26" s="389"/>
      <c r="B26" s="392"/>
      <c r="C26" s="393" t="s">
        <v>857</v>
      </c>
      <c r="D26" s="396"/>
      <c r="E26" s="396"/>
      <c r="F26" s="360">
        <f t="shared" si="5"/>
        <v>0</v>
      </c>
      <c r="G26" s="396"/>
      <c r="H26" s="396"/>
      <c r="I26" s="360">
        <f t="shared" si="6"/>
        <v>0</v>
      </c>
      <c r="J26" s="389"/>
    </row>
    <row r="27" spans="1:10" s="391" customFormat="1">
      <c r="A27" s="389"/>
      <c r="B27" s="392"/>
      <c r="C27" s="393" t="s">
        <v>858</v>
      </c>
      <c r="D27" s="396"/>
      <c r="E27" s="396"/>
      <c r="F27" s="360">
        <f t="shared" si="5"/>
        <v>0</v>
      </c>
      <c r="G27" s="396"/>
      <c r="H27" s="396"/>
      <c r="I27" s="360">
        <f t="shared" si="6"/>
        <v>0</v>
      </c>
      <c r="J27" s="389"/>
    </row>
    <row r="28" spans="1:10" s="391" customFormat="1">
      <c r="A28" s="389"/>
      <c r="B28" s="392"/>
      <c r="C28" s="393" t="s">
        <v>859</v>
      </c>
      <c r="D28" s="396"/>
      <c r="E28" s="396"/>
      <c r="F28" s="360">
        <f t="shared" si="5"/>
        <v>0</v>
      </c>
      <c r="G28" s="396"/>
      <c r="H28" s="396"/>
      <c r="I28" s="360">
        <f t="shared" si="6"/>
        <v>0</v>
      </c>
      <c r="J28" s="389"/>
    </row>
    <row r="29" spans="1:10" s="391" customFormat="1">
      <c r="A29" s="389"/>
      <c r="B29" s="392"/>
      <c r="C29" s="393" t="s">
        <v>860</v>
      </c>
      <c r="D29" s="396"/>
      <c r="E29" s="396"/>
      <c r="F29" s="360">
        <f t="shared" si="5"/>
        <v>0</v>
      </c>
      <c r="G29" s="396"/>
      <c r="H29" s="396"/>
      <c r="I29" s="360">
        <f t="shared" si="6"/>
        <v>0</v>
      </c>
      <c r="J29" s="389"/>
    </row>
    <row r="30" spans="1:10" s="391" customFormat="1">
      <c r="A30" s="389"/>
      <c r="B30" s="392"/>
      <c r="C30" s="393"/>
      <c r="D30" s="396"/>
      <c r="E30" s="396"/>
      <c r="F30" s="396"/>
      <c r="G30" s="396"/>
      <c r="H30" s="396"/>
      <c r="I30" s="396"/>
      <c r="J30" s="389"/>
    </row>
    <row r="31" spans="1:10" s="395" customFormat="1">
      <c r="A31" s="394"/>
      <c r="B31" s="1865" t="s">
        <v>861</v>
      </c>
      <c r="C31" s="1866"/>
      <c r="D31" s="397">
        <f>SUM(D32:D40)</f>
        <v>138260283.41649699</v>
      </c>
      <c r="E31" s="397">
        <f>SUM(E32:E40)</f>
        <v>2683490</v>
      </c>
      <c r="F31" s="397">
        <f>+D31+E31</f>
        <v>140943773.41649699</v>
      </c>
      <c r="G31" s="397">
        <f>SUM(G32:G40)</f>
        <v>52183974.449999996</v>
      </c>
      <c r="H31" s="397">
        <f>SUM(H32:H40)</f>
        <v>52183974.449999996</v>
      </c>
      <c r="I31" s="397">
        <f>+F31-G31</f>
        <v>88759798.966497004</v>
      </c>
      <c r="J31" s="394"/>
    </row>
    <row r="32" spans="1:10" s="391" customFormat="1">
      <c r="A32" s="389"/>
      <c r="B32" s="392"/>
      <c r="C32" s="393" t="s">
        <v>862</v>
      </c>
      <c r="D32" s="396">
        <f>+COG!D32</f>
        <v>138260283.41649699</v>
      </c>
      <c r="E32" s="396">
        <f>+COG!E32</f>
        <v>2683490</v>
      </c>
      <c r="F32" s="396">
        <f t="shared" ref="F32:F40" si="7">+D32+E32</f>
        <v>140943773.41649699</v>
      </c>
      <c r="G32" s="396">
        <f>+COG!G32</f>
        <v>52183974.449999996</v>
      </c>
      <c r="H32" s="396">
        <f>+COG!H32</f>
        <v>52183974.449999996</v>
      </c>
      <c r="I32" s="396">
        <f t="shared" ref="I32:I40" si="8">+F32-G32</f>
        <v>88759798.966497004</v>
      </c>
      <c r="J32" s="389"/>
    </row>
    <row r="33" spans="1:10" s="391" customFormat="1">
      <c r="A33" s="389"/>
      <c r="B33" s="392"/>
      <c r="C33" s="393" t="s">
        <v>863</v>
      </c>
      <c r="D33" s="396"/>
      <c r="E33" s="396"/>
      <c r="F33" s="396">
        <f t="shared" si="7"/>
        <v>0</v>
      </c>
      <c r="G33" s="396"/>
      <c r="H33" s="396"/>
      <c r="I33" s="396">
        <f t="shared" si="8"/>
        <v>0</v>
      </c>
      <c r="J33" s="389"/>
    </row>
    <row r="34" spans="1:10" s="391" customFormat="1">
      <c r="A34" s="389"/>
      <c r="B34" s="392"/>
      <c r="C34" s="393" t="s">
        <v>864</v>
      </c>
      <c r="D34" s="396"/>
      <c r="E34" s="396"/>
      <c r="F34" s="396">
        <f t="shared" si="7"/>
        <v>0</v>
      </c>
      <c r="G34" s="396"/>
      <c r="H34" s="396"/>
      <c r="I34" s="396">
        <f t="shared" si="8"/>
        <v>0</v>
      </c>
      <c r="J34" s="389"/>
    </row>
    <row r="35" spans="1:10" s="391" customFormat="1">
      <c r="A35" s="389"/>
      <c r="B35" s="392"/>
      <c r="C35" s="393" t="s">
        <v>865</v>
      </c>
      <c r="D35" s="396"/>
      <c r="E35" s="396"/>
      <c r="F35" s="396">
        <f t="shared" si="7"/>
        <v>0</v>
      </c>
      <c r="G35" s="396"/>
      <c r="H35" s="396"/>
      <c r="I35" s="396">
        <f t="shared" si="8"/>
        <v>0</v>
      </c>
      <c r="J35" s="389"/>
    </row>
    <row r="36" spans="1:10" s="391" customFormat="1">
      <c r="A36" s="389"/>
      <c r="B36" s="392"/>
      <c r="C36" s="393" t="s">
        <v>866</v>
      </c>
      <c r="D36" s="396"/>
      <c r="E36" s="396"/>
      <c r="F36" s="396">
        <f t="shared" si="7"/>
        <v>0</v>
      </c>
      <c r="G36" s="396"/>
      <c r="H36" s="396"/>
      <c r="I36" s="396">
        <f t="shared" si="8"/>
        <v>0</v>
      </c>
      <c r="J36" s="389"/>
    </row>
    <row r="37" spans="1:10" s="391" customFormat="1">
      <c r="A37" s="389"/>
      <c r="B37" s="392"/>
      <c r="C37" s="393" t="s">
        <v>867</v>
      </c>
      <c r="D37" s="396"/>
      <c r="E37" s="396"/>
      <c r="F37" s="396">
        <f t="shared" si="7"/>
        <v>0</v>
      </c>
      <c r="G37" s="396"/>
      <c r="H37" s="396"/>
      <c r="I37" s="396">
        <f t="shared" si="8"/>
        <v>0</v>
      </c>
      <c r="J37" s="389"/>
    </row>
    <row r="38" spans="1:10" s="391" customFormat="1">
      <c r="A38" s="389"/>
      <c r="B38" s="392"/>
      <c r="C38" s="393" t="s">
        <v>868</v>
      </c>
      <c r="D38" s="396"/>
      <c r="E38" s="396"/>
      <c r="F38" s="396">
        <f t="shared" si="7"/>
        <v>0</v>
      </c>
      <c r="G38" s="396"/>
      <c r="H38" s="396"/>
      <c r="I38" s="396">
        <f t="shared" si="8"/>
        <v>0</v>
      </c>
      <c r="J38" s="389"/>
    </row>
    <row r="39" spans="1:10" s="391" customFormat="1">
      <c r="A39" s="389"/>
      <c r="B39" s="392"/>
      <c r="C39" s="393" t="s">
        <v>869</v>
      </c>
      <c r="D39" s="396"/>
      <c r="E39" s="396"/>
      <c r="F39" s="396">
        <f t="shared" si="7"/>
        <v>0</v>
      </c>
      <c r="G39" s="396"/>
      <c r="H39" s="396"/>
      <c r="I39" s="396">
        <f t="shared" si="8"/>
        <v>0</v>
      </c>
      <c r="J39" s="389"/>
    </row>
    <row r="40" spans="1:10" s="391" customFormat="1">
      <c r="A40" s="389"/>
      <c r="B40" s="392"/>
      <c r="C40" s="393" t="s">
        <v>870</v>
      </c>
      <c r="D40" s="396"/>
      <c r="E40" s="396"/>
      <c r="F40" s="396">
        <f t="shared" si="7"/>
        <v>0</v>
      </c>
      <c r="G40" s="396"/>
      <c r="H40" s="396"/>
      <c r="I40" s="396">
        <f t="shared" si="8"/>
        <v>0</v>
      </c>
      <c r="J40" s="389"/>
    </row>
    <row r="41" spans="1:10" s="391" customFormat="1">
      <c r="A41" s="389"/>
      <c r="B41" s="392"/>
      <c r="C41" s="393"/>
      <c r="D41" s="396"/>
      <c r="E41" s="396"/>
      <c r="F41" s="396"/>
      <c r="G41" s="396"/>
      <c r="H41" s="396"/>
      <c r="I41" s="396"/>
      <c r="J41" s="389"/>
    </row>
    <row r="42" spans="1:10" s="395" customFormat="1">
      <c r="A42" s="394"/>
      <c r="B42" s="1865" t="s">
        <v>871</v>
      </c>
      <c r="C42" s="1866"/>
      <c r="D42" s="397">
        <f>SUM(D43:D46)</f>
        <v>0</v>
      </c>
      <c r="E42" s="397">
        <f>SUM(E43:E46)</f>
        <v>0</v>
      </c>
      <c r="F42" s="397">
        <f>+D42+E42</f>
        <v>0</v>
      </c>
      <c r="G42" s="397">
        <f t="shared" ref="G42:H42" si="9">SUM(G43:G46)</f>
        <v>0</v>
      </c>
      <c r="H42" s="397">
        <f t="shared" si="9"/>
        <v>0</v>
      </c>
      <c r="I42" s="397">
        <f>+F42-G42</f>
        <v>0</v>
      </c>
      <c r="J42" s="394"/>
    </row>
    <row r="43" spans="1:10" s="391" customFormat="1">
      <c r="A43" s="389"/>
      <c r="B43" s="392"/>
      <c r="C43" s="393" t="s">
        <v>872</v>
      </c>
      <c r="D43" s="396"/>
      <c r="E43" s="396"/>
      <c r="F43" s="396">
        <f t="shared" ref="F43:F46" si="10">+D43+E43</f>
        <v>0</v>
      </c>
      <c r="G43" s="396"/>
      <c r="H43" s="396"/>
      <c r="I43" s="396">
        <f t="shared" ref="I43:I46" si="11">+F43-G43</f>
        <v>0</v>
      </c>
      <c r="J43" s="389"/>
    </row>
    <row r="44" spans="1:10" s="391" customFormat="1" ht="22.5">
      <c r="A44" s="389"/>
      <c r="B44" s="392"/>
      <c r="C44" s="393" t="s">
        <v>873</v>
      </c>
      <c r="D44" s="396"/>
      <c r="E44" s="396"/>
      <c r="F44" s="396">
        <f t="shared" si="10"/>
        <v>0</v>
      </c>
      <c r="G44" s="396"/>
      <c r="H44" s="396"/>
      <c r="I44" s="396">
        <f t="shared" si="11"/>
        <v>0</v>
      </c>
      <c r="J44" s="389"/>
    </row>
    <row r="45" spans="1:10" s="391" customFormat="1">
      <c r="A45" s="389"/>
      <c r="B45" s="392"/>
      <c r="C45" s="393" t="s">
        <v>874</v>
      </c>
      <c r="D45" s="396"/>
      <c r="E45" s="396"/>
      <c r="F45" s="396">
        <f t="shared" si="10"/>
        <v>0</v>
      </c>
      <c r="G45" s="396"/>
      <c r="H45" s="396"/>
      <c r="I45" s="396">
        <f t="shared" si="11"/>
        <v>0</v>
      </c>
      <c r="J45" s="389"/>
    </row>
    <row r="46" spans="1:10" s="391" customFormat="1">
      <c r="A46" s="389"/>
      <c r="B46" s="392"/>
      <c r="C46" s="393" t="s">
        <v>875</v>
      </c>
      <c r="D46" s="396"/>
      <c r="E46" s="396"/>
      <c r="F46" s="396">
        <f t="shared" si="10"/>
        <v>0</v>
      </c>
      <c r="G46" s="396"/>
      <c r="H46" s="396"/>
      <c r="I46" s="396">
        <f t="shared" si="11"/>
        <v>0</v>
      </c>
      <c r="J46" s="389"/>
    </row>
    <row r="47" spans="1:10" s="391" customFormat="1">
      <c r="A47" s="389"/>
      <c r="B47" s="398"/>
      <c r="C47" s="399"/>
      <c r="D47" s="400"/>
      <c r="E47" s="400"/>
      <c r="F47" s="400"/>
      <c r="G47" s="400"/>
      <c r="H47" s="400"/>
      <c r="I47" s="400"/>
      <c r="J47" s="389"/>
    </row>
    <row r="48" spans="1:10" s="395" customFormat="1" ht="24" customHeight="1">
      <c r="A48" s="394"/>
      <c r="B48" s="401"/>
      <c r="C48" s="402" t="s">
        <v>822</v>
      </c>
      <c r="D48" s="403">
        <f>+D12+D22+D31+D42</f>
        <v>138260283.41649699</v>
      </c>
      <c r="E48" s="403">
        <f t="shared" ref="E48:I48" si="12">+E12+E22+E31+E42</f>
        <v>2683490</v>
      </c>
      <c r="F48" s="403">
        <f t="shared" si="12"/>
        <v>140943773.41649699</v>
      </c>
      <c r="G48" s="403">
        <f t="shared" si="12"/>
        <v>52183974.449999996</v>
      </c>
      <c r="H48" s="403">
        <f t="shared" si="12"/>
        <v>52183974.449999996</v>
      </c>
      <c r="I48" s="403">
        <f t="shared" si="12"/>
        <v>88759798.966497004</v>
      </c>
      <c r="J48" s="394"/>
    </row>
    <row r="50" spans="4:9" ht="15.75">
      <c r="D50" s="404" t="str">
        <f>IF(D48=CAdmon!D22," ","ERROR")</f>
        <v xml:space="preserve"> </v>
      </c>
      <c r="E50" s="404"/>
      <c r="F50" s="404"/>
      <c r="G50" s="404"/>
      <c r="H50" s="404"/>
      <c r="I50" s="404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C3C2-D7D7-418F-9EA3-0655EE5377CA}">
  <dimension ref="B1:I81"/>
  <sheetViews>
    <sheetView workbookViewId="0">
      <selection activeCell="F30" sqref="F30:G30"/>
    </sheetView>
  </sheetViews>
  <sheetFormatPr baseColWidth="10" defaultColWidth="11.5703125" defaultRowHeight="15"/>
  <cols>
    <col min="1" max="1" width="3.7109375" style="857" customWidth="1"/>
    <col min="2" max="2" width="42.85546875" style="857" customWidth="1"/>
    <col min="3" max="3" width="14.42578125" style="857" bestFit="1" customWidth="1"/>
    <col min="4" max="4" width="13.85546875" style="857" customWidth="1"/>
    <col min="5" max="8" width="14.42578125" style="857" bestFit="1" customWidth="1"/>
    <col min="9" max="9" width="3.7109375" style="857" customWidth="1"/>
    <col min="10" max="16384" width="11.5703125" style="857"/>
  </cols>
  <sheetData>
    <row r="1" spans="2:9" ht="15" customHeight="1"/>
    <row r="2" spans="2:9">
      <c r="B2" s="1769" t="s">
        <v>2987</v>
      </c>
      <c r="C2" s="1770"/>
      <c r="D2" s="1770"/>
      <c r="E2" s="1770"/>
      <c r="F2" s="1770"/>
      <c r="G2" s="1770"/>
      <c r="H2" s="1771"/>
      <c r="I2" s="858" t="s">
        <v>4848</v>
      </c>
    </row>
    <row r="3" spans="2:9">
      <c r="B3" s="1867" t="s">
        <v>4792</v>
      </c>
      <c r="C3" s="1868"/>
      <c r="D3" s="1868"/>
      <c r="E3" s="1868"/>
      <c r="F3" s="1868"/>
      <c r="G3" s="1868"/>
      <c r="H3" s="1869"/>
    </row>
    <row r="4" spans="2:9">
      <c r="B4" s="1867" t="s">
        <v>844</v>
      </c>
      <c r="C4" s="1868"/>
      <c r="D4" s="1868"/>
      <c r="E4" s="1868"/>
      <c r="F4" s="1868"/>
      <c r="G4" s="1868"/>
      <c r="H4" s="1869"/>
    </row>
    <row r="5" spans="2:9" ht="15.75" thickBot="1">
      <c r="B5" s="1839"/>
      <c r="C5" s="1840"/>
      <c r="D5" s="1840"/>
      <c r="E5" s="1840"/>
      <c r="F5" s="1840"/>
      <c r="G5" s="1840"/>
      <c r="H5" s="1841"/>
    </row>
    <row r="6" spans="2:9" ht="15.75" thickBot="1">
      <c r="B6" s="1818" t="s">
        <v>230</v>
      </c>
      <c r="C6" s="1833" t="s">
        <v>75</v>
      </c>
      <c r="D6" s="1833"/>
      <c r="E6" s="1833"/>
      <c r="F6" s="1833"/>
      <c r="G6" s="1834"/>
      <c r="H6" s="1823" t="s">
        <v>4793</v>
      </c>
    </row>
    <row r="7" spans="2:9" ht="24.75" thickBot="1">
      <c r="B7" s="1831"/>
      <c r="C7" s="1062" t="s">
        <v>4794</v>
      </c>
      <c r="D7" s="1062" t="s">
        <v>4795</v>
      </c>
      <c r="E7" s="1062" t="s">
        <v>4796</v>
      </c>
      <c r="F7" s="1062" t="s">
        <v>236</v>
      </c>
      <c r="G7" s="1062" t="s">
        <v>4797</v>
      </c>
      <c r="H7" s="1824"/>
    </row>
    <row r="8" spans="2:9" ht="16.5" customHeight="1" thickBot="1">
      <c r="B8" s="1819"/>
      <c r="C8" s="1120">
        <v>1</v>
      </c>
      <c r="D8" s="1063">
        <v>2</v>
      </c>
      <c r="E8" s="1063" t="s">
        <v>4801</v>
      </c>
      <c r="F8" s="1063">
        <v>4</v>
      </c>
      <c r="G8" s="1063">
        <v>5</v>
      </c>
      <c r="H8" s="1064" t="s">
        <v>4799</v>
      </c>
    </row>
    <row r="9" spans="2:9" ht="16.5" customHeight="1">
      <c r="B9" s="1121"/>
      <c r="C9" s="1122"/>
      <c r="D9" s="1122"/>
      <c r="E9" s="1122"/>
      <c r="F9" s="1122"/>
      <c r="G9" s="1122"/>
      <c r="H9" s="1123"/>
    </row>
    <row r="10" spans="2:9">
      <c r="B10" s="1124" t="s">
        <v>845</v>
      </c>
      <c r="C10" s="941">
        <f>SUM(C11:C18)</f>
        <v>0</v>
      </c>
      <c r="D10" s="941">
        <f>SUM(D11:D18)</f>
        <v>0</v>
      </c>
      <c r="E10" s="941">
        <f t="shared" ref="E10:E18" si="0">C10+D10</f>
        <v>0</v>
      </c>
      <c r="F10" s="941">
        <f>SUM(F11:F18)</f>
        <v>0</v>
      </c>
      <c r="G10" s="941">
        <f>SUM(G11:G18)</f>
        <v>0</v>
      </c>
      <c r="H10" s="941">
        <f t="shared" ref="H10:H18" si="1">E10-F10</f>
        <v>0</v>
      </c>
    </row>
    <row r="11" spans="2:9">
      <c r="B11" s="1125" t="s">
        <v>846</v>
      </c>
      <c r="C11" s="946">
        <v>0</v>
      </c>
      <c r="D11" s="946">
        <v>0</v>
      </c>
      <c r="E11" s="943">
        <f t="shared" si="0"/>
        <v>0</v>
      </c>
      <c r="F11" s="946">
        <v>0</v>
      </c>
      <c r="G11" s="946">
        <v>0</v>
      </c>
      <c r="H11" s="943">
        <f t="shared" si="1"/>
        <v>0</v>
      </c>
    </row>
    <row r="12" spans="2:9">
      <c r="B12" s="1125" t="s">
        <v>847</v>
      </c>
      <c r="C12" s="946">
        <v>0</v>
      </c>
      <c r="D12" s="946">
        <v>0</v>
      </c>
      <c r="E12" s="943">
        <f t="shared" si="0"/>
        <v>0</v>
      </c>
      <c r="F12" s="946">
        <v>0</v>
      </c>
      <c r="G12" s="946">
        <v>0</v>
      </c>
      <c r="H12" s="943">
        <f t="shared" si="1"/>
        <v>0</v>
      </c>
    </row>
    <row r="13" spans="2:9">
      <c r="B13" s="1125" t="s">
        <v>848</v>
      </c>
      <c r="C13" s="946">
        <v>0</v>
      </c>
      <c r="D13" s="946">
        <v>0</v>
      </c>
      <c r="E13" s="943">
        <f t="shared" si="0"/>
        <v>0</v>
      </c>
      <c r="F13" s="946">
        <v>0</v>
      </c>
      <c r="G13" s="946">
        <v>0</v>
      </c>
      <c r="H13" s="943">
        <f t="shared" si="1"/>
        <v>0</v>
      </c>
    </row>
    <row r="14" spans="2:9">
      <c r="B14" s="1125" t="s">
        <v>849</v>
      </c>
      <c r="C14" s="946">
        <v>0</v>
      </c>
      <c r="D14" s="946">
        <v>0</v>
      </c>
      <c r="E14" s="943">
        <f t="shared" si="0"/>
        <v>0</v>
      </c>
      <c r="F14" s="946">
        <v>0</v>
      </c>
      <c r="G14" s="946">
        <v>0</v>
      </c>
      <c r="H14" s="943">
        <f t="shared" si="1"/>
        <v>0</v>
      </c>
    </row>
    <row r="15" spans="2:9">
      <c r="B15" s="1125" t="s">
        <v>850</v>
      </c>
      <c r="C15" s="946">
        <v>0</v>
      </c>
      <c r="D15" s="946">
        <v>0</v>
      </c>
      <c r="E15" s="943">
        <f t="shared" si="0"/>
        <v>0</v>
      </c>
      <c r="F15" s="946">
        <v>0</v>
      </c>
      <c r="G15" s="946">
        <v>0</v>
      </c>
      <c r="H15" s="943">
        <f t="shared" si="1"/>
        <v>0</v>
      </c>
    </row>
    <row r="16" spans="2:9">
      <c r="B16" s="1125" t="s">
        <v>851</v>
      </c>
      <c r="C16" s="946">
        <v>0</v>
      </c>
      <c r="D16" s="946">
        <v>0</v>
      </c>
      <c r="E16" s="943">
        <f t="shared" si="0"/>
        <v>0</v>
      </c>
      <c r="F16" s="946">
        <v>0</v>
      </c>
      <c r="G16" s="946">
        <v>0</v>
      </c>
      <c r="H16" s="943">
        <f t="shared" si="1"/>
        <v>0</v>
      </c>
    </row>
    <row r="17" spans="2:8" ht="17.25" customHeight="1">
      <c r="B17" s="1125" t="s">
        <v>852</v>
      </c>
      <c r="C17" s="946">
        <v>0</v>
      </c>
      <c r="D17" s="946">
        <v>0</v>
      </c>
      <c r="E17" s="943">
        <f t="shared" si="0"/>
        <v>0</v>
      </c>
      <c r="F17" s="946">
        <v>0</v>
      </c>
      <c r="G17" s="946">
        <v>0</v>
      </c>
      <c r="H17" s="943">
        <f t="shared" si="1"/>
        <v>0</v>
      </c>
    </row>
    <row r="18" spans="2:8">
      <c r="B18" s="1125" t="s">
        <v>137</v>
      </c>
      <c r="C18" s="946">
        <v>0</v>
      </c>
      <c r="D18" s="946">
        <v>0</v>
      </c>
      <c r="E18" s="943">
        <f t="shared" si="0"/>
        <v>0</v>
      </c>
      <c r="F18" s="946">
        <v>0</v>
      </c>
      <c r="G18" s="946">
        <v>0</v>
      </c>
      <c r="H18" s="943">
        <f t="shared" si="1"/>
        <v>0</v>
      </c>
    </row>
    <row r="19" spans="2:8" ht="15" customHeight="1">
      <c r="B19" s="1126"/>
      <c r="C19" s="941"/>
      <c r="D19" s="941"/>
      <c r="E19" s="941"/>
      <c r="F19" s="941"/>
      <c r="G19" s="941"/>
      <c r="H19" s="941"/>
    </row>
    <row r="20" spans="2:8" ht="15" customHeight="1">
      <c r="B20" s="1124" t="s">
        <v>853</v>
      </c>
      <c r="C20" s="941">
        <f>SUM(C21:C27)</f>
        <v>0</v>
      </c>
      <c r="D20" s="941">
        <f>SUM(D21:D27)</f>
        <v>0</v>
      </c>
      <c r="E20" s="941">
        <f t="shared" ref="E20:E27" si="2">C20+D20</f>
        <v>0</v>
      </c>
      <c r="F20" s="941">
        <f>SUM(F21:F27)</f>
        <v>0</v>
      </c>
      <c r="G20" s="941">
        <f>SUM(G21:G27)</f>
        <v>0</v>
      </c>
      <c r="H20" s="941">
        <f t="shared" ref="H20:H27" si="3">E20-F20</f>
        <v>0</v>
      </c>
    </row>
    <row r="21" spans="2:8">
      <c r="B21" s="1125" t="s">
        <v>854</v>
      </c>
      <c r="C21" s="946">
        <v>0</v>
      </c>
      <c r="D21" s="946">
        <v>0</v>
      </c>
      <c r="E21" s="943">
        <f t="shared" si="2"/>
        <v>0</v>
      </c>
      <c r="F21" s="946">
        <v>0</v>
      </c>
      <c r="G21" s="946">
        <v>0</v>
      </c>
      <c r="H21" s="943">
        <f t="shared" si="3"/>
        <v>0</v>
      </c>
    </row>
    <row r="22" spans="2:8">
      <c r="B22" s="1125" t="s">
        <v>855</v>
      </c>
      <c r="C22" s="946">
        <v>0</v>
      </c>
      <c r="D22" s="946">
        <v>0</v>
      </c>
      <c r="E22" s="943">
        <f t="shared" si="2"/>
        <v>0</v>
      </c>
      <c r="F22" s="946">
        <v>0</v>
      </c>
      <c r="G22" s="946">
        <v>0</v>
      </c>
      <c r="H22" s="943">
        <f t="shared" si="3"/>
        <v>0</v>
      </c>
    </row>
    <row r="23" spans="2:8">
      <c r="B23" s="1125" t="s">
        <v>856</v>
      </c>
      <c r="C23" s="946">
        <v>0</v>
      </c>
      <c r="D23" s="946">
        <v>0</v>
      </c>
      <c r="E23" s="943">
        <f t="shared" si="2"/>
        <v>0</v>
      </c>
      <c r="F23" s="946">
        <v>0</v>
      </c>
      <c r="G23" s="946">
        <v>0</v>
      </c>
      <c r="H23" s="943">
        <f t="shared" si="3"/>
        <v>0</v>
      </c>
    </row>
    <row r="24" spans="2:8" ht="24">
      <c r="B24" s="1125" t="s">
        <v>857</v>
      </c>
      <c r="C24" s="946">
        <v>0</v>
      </c>
      <c r="D24" s="946">
        <v>0</v>
      </c>
      <c r="E24" s="943">
        <f t="shared" si="2"/>
        <v>0</v>
      </c>
      <c r="F24" s="946">
        <v>0</v>
      </c>
      <c r="G24" s="946">
        <v>0</v>
      </c>
      <c r="H24" s="943">
        <f t="shared" si="3"/>
        <v>0</v>
      </c>
    </row>
    <row r="25" spans="2:8">
      <c r="B25" s="1125" t="s">
        <v>858</v>
      </c>
      <c r="C25" s="931">
        <v>0</v>
      </c>
      <c r="D25" s="931">
        <v>0</v>
      </c>
      <c r="E25" s="1127">
        <f t="shared" si="2"/>
        <v>0</v>
      </c>
      <c r="F25" s="931">
        <v>0</v>
      </c>
      <c r="G25" s="931">
        <v>0</v>
      </c>
      <c r="H25" s="1127">
        <f t="shared" si="3"/>
        <v>0</v>
      </c>
    </row>
    <row r="26" spans="2:8">
      <c r="B26" s="1125" t="s">
        <v>859</v>
      </c>
      <c r="C26" s="946">
        <v>0</v>
      </c>
      <c r="D26" s="946">
        <v>0</v>
      </c>
      <c r="E26" s="943">
        <f t="shared" si="2"/>
        <v>0</v>
      </c>
      <c r="F26" s="946">
        <v>0</v>
      </c>
      <c r="G26" s="946">
        <v>0</v>
      </c>
      <c r="H26" s="943">
        <f t="shared" si="3"/>
        <v>0</v>
      </c>
    </row>
    <row r="27" spans="2:8">
      <c r="B27" s="1125" t="s">
        <v>860</v>
      </c>
      <c r="C27" s="946">
        <v>0</v>
      </c>
      <c r="D27" s="946">
        <v>0</v>
      </c>
      <c r="E27" s="943">
        <f t="shared" si="2"/>
        <v>0</v>
      </c>
      <c r="F27" s="946">
        <v>0</v>
      </c>
      <c r="G27" s="946">
        <v>0</v>
      </c>
      <c r="H27" s="943">
        <f t="shared" si="3"/>
        <v>0</v>
      </c>
    </row>
    <row r="28" spans="2:8" ht="15" customHeight="1">
      <c r="B28" s="1126"/>
      <c r="C28" s="941"/>
      <c r="D28" s="941"/>
      <c r="E28" s="941"/>
      <c r="F28" s="941"/>
      <c r="G28" s="941"/>
      <c r="H28" s="941"/>
    </row>
    <row r="29" spans="2:8" ht="15" customHeight="1">
      <c r="B29" s="1128" t="s">
        <v>4849</v>
      </c>
      <c r="C29" s="941">
        <f>SUM(C30:C38)</f>
        <v>138260283.41649699</v>
      </c>
      <c r="D29" s="941">
        <f>SUM(D30:D38)</f>
        <v>2683490</v>
      </c>
      <c r="E29" s="941">
        <f t="shared" ref="E29:E38" si="4">C29+D29</f>
        <v>140943773.41649699</v>
      </c>
      <c r="F29" s="941">
        <f>SUM(F30:F38)</f>
        <v>52183974.449999996</v>
      </c>
      <c r="G29" s="941">
        <f>SUM(G30:G38)</f>
        <v>52183974.449999996</v>
      </c>
      <c r="H29" s="941">
        <f t="shared" ref="H29:H38" si="5">E29-F29</f>
        <v>88759798.966497004</v>
      </c>
    </row>
    <row r="30" spans="2:8" ht="24">
      <c r="B30" s="1125" t="s">
        <v>862</v>
      </c>
      <c r="C30" s="946">
        <f>+CFG!D32</f>
        <v>138260283.41649699</v>
      </c>
      <c r="D30" s="946">
        <f>+CFG!E32</f>
        <v>2683490</v>
      </c>
      <c r="E30" s="943">
        <f t="shared" si="4"/>
        <v>140943773.41649699</v>
      </c>
      <c r="F30" s="946">
        <f>+CFG!G32</f>
        <v>52183974.449999996</v>
      </c>
      <c r="G30" s="946">
        <f>+CFG!H32</f>
        <v>52183974.449999996</v>
      </c>
      <c r="H30" s="943">
        <f t="shared" si="5"/>
        <v>88759798.966497004</v>
      </c>
    </row>
    <row r="31" spans="2:8">
      <c r="B31" s="1125" t="s">
        <v>863</v>
      </c>
      <c r="C31" s="946">
        <v>0</v>
      </c>
      <c r="D31" s="946">
        <v>0</v>
      </c>
      <c r="E31" s="943">
        <f t="shared" si="4"/>
        <v>0</v>
      </c>
      <c r="F31" s="946">
        <v>0</v>
      </c>
      <c r="G31" s="946">
        <v>0</v>
      </c>
      <c r="H31" s="943">
        <f t="shared" si="5"/>
        <v>0</v>
      </c>
    </row>
    <row r="32" spans="2:8">
      <c r="B32" s="1125" t="s">
        <v>864</v>
      </c>
      <c r="C32" s="946">
        <v>0</v>
      </c>
      <c r="D32" s="946">
        <v>0</v>
      </c>
      <c r="E32" s="943">
        <f t="shared" si="4"/>
        <v>0</v>
      </c>
      <c r="F32" s="946">
        <v>0</v>
      </c>
      <c r="G32" s="946">
        <v>0</v>
      </c>
      <c r="H32" s="943">
        <f t="shared" si="5"/>
        <v>0</v>
      </c>
    </row>
    <row r="33" spans="2:8">
      <c r="B33" s="1125" t="s">
        <v>865</v>
      </c>
      <c r="C33" s="946">
        <v>0</v>
      </c>
      <c r="D33" s="946">
        <v>0</v>
      </c>
      <c r="E33" s="943">
        <f t="shared" si="4"/>
        <v>0</v>
      </c>
      <c r="F33" s="946">
        <v>0</v>
      </c>
      <c r="G33" s="946">
        <v>0</v>
      </c>
      <c r="H33" s="943">
        <f t="shared" si="5"/>
        <v>0</v>
      </c>
    </row>
    <row r="34" spans="2:8">
      <c r="B34" s="1125" t="s">
        <v>866</v>
      </c>
      <c r="C34" s="946">
        <v>0</v>
      </c>
      <c r="D34" s="946">
        <v>0</v>
      </c>
      <c r="E34" s="943">
        <f t="shared" si="4"/>
        <v>0</v>
      </c>
      <c r="F34" s="946">
        <v>0</v>
      </c>
      <c r="G34" s="946">
        <v>0</v>
      </c>
      <c r="H34" s="943">
        <f t="shared" si="5"/>
        <v>0</v>
      </c>
    </row>
    <row r="35" spans="2:8">
      <c r="B35" s="1125" t="s">
        <v>867</v>
      </c>
      <c r="C35" s="946">
        <v>0</v>
      </c>
      <c r="D35" s="946">
        <v>0</v>
      </c>
      <c r="E35" s="943">
        <f t="shared" si="4"/>
        <v>0</v>
      </c>
      <c r="F35" s="946">
        <v>0</v>
      </c>
      <c r="G35" s="946">
        <v>0</v>
      </c>
      <c r="H35" s="943">
        <f t="shared" si="5"/>
        <v>0</v>
      </c>
    </row>
    <row r="36" spans="2:8">
      <c r="B36" s="1125" t="s">
        <v>868</v>
      </c>
      <c r="C36" s="946">
        <v>0</v>
      </c>
      <c r="D36" s="946">
        <v>0</v>
      </c>
      <c r="E36" s="943">
        <f t="shared" si="4"/>
        <v>0</v>
      </c>
      <c r="F36" s="946">
        <v>0</v>
      </c>
      <c r="G36" s="946">
        <v>0</v>
      </c>
      <c r="H36" s="943">
        <f t="shared" si="5"/>
        <v>0</v>
      </c>
    </row>
    <row r="37" spans="2:8">
      <c r="B37" s="1125" t="s">
        <v>869</v>
      </c>
      <c r="C37" s="946">
        <v>0</v>
      </c>
      <c r="D37" s="946">
        <v>0</v>
      </c>
      <c r="E37" s="943">
        <f t="shared" si="4"/>
        <v>0</v>
      </c>
      <c r="F37" s="946">
        <v>0</v>
      </c>
      <c r="G37" s="946">
        <v>0</v>
      </c>
      <c r="H37" s="943">
        <f t="shared" si="5"/>
        <v>0</v>
      </c>
    </row>
    <row r="38" spans="2:8">
      <c r="B38" s="1125" t="s">
        <v>870</v>
      </c>
      <c r="C38" s="946">
        <v>0</v>
      </c>
      <c r="D38" s="946">
        <v>0</v>
      </c>
      <c r="E38" s="943">
        <f t="shared" si="4"/>
        <v>0</v>
      </c>
      <c r="F38" s="946">
        <v>0</v>
      </c>
      <c r="G38" s="946">
        <v>0</v>
      </c>
      <c r="H38" s="943">
        <f t="shared" si="5"/>
        <v>0</v>
      </c>
    </row>
    <row r="39" spans="2:8" ht="15" customHeight="1">
      <c r="B39" s="1129"/>
      <c r="C39" s="941"/>
      <c r="D39" s="941"/>
      <c r="E39" s="941"/>
      <c r="F39" s="941"/>
      <c r="G39" s="941"/>
      <c r="H39" s="941"/>
    </row>
    <row r="40" spans="2:8" ht="21.75" customHeight="1">
      <c r="B40" s="1130" t="s">
        <v>871</v>
      </c>
      <c r="C40" s="941">
        <f>SUM(C41:C44)</f>
        <v>0</v>
      </c>
      <c r="D40" s="941">
        <f>SUM(D41:D44)</f>
        <v>0</v>
      </c>
      <c r="E40" s="941">
        <f>C40+D40</f>
        <v>0</v>
      </c>
      <c r="F40" s="941">
        <f>SUM(F41:F44)</f>
        <v>0</v>
      </c>
      <c r="G40" s="941">
        <f>SUM(G41:G44)</f>
        <v>0</v>
      </c>
      <c r="H40" s="941">
        <f>E40-F40</f>
        <v>0</v>
      </c>
    </row>
    <row r="41" spans="2:8" ht="24">
      <c r="B41" s="1125" t="s">
        <v>872</v>
      </c>
      <c r="C41" s="946">
        <v>0</v>
      </c>
      <c r="D41" s="946">
        <v>0</v>
      </c>
      <c r="E41" s="943">
        <f>C41+D41</f>
        <v>0</v>
      </c>
      <c r="F41" s="946">
        <v>0</v>
      </c>
      <c r="G41" s="946">
        <v>0</v>
      </c>
      <c r="H41" s="943">
        <f>E41-F41</f>
        <v>0</v>
      </c>
    </row>
    <row r="42" spans="2:8" ht="24">
      <c r="B42" s="1125" t="s">
        <v>4850</v>
      </c>
      <c r="C42" s="946">
        <v>0</v>
      </c>
      <c r="D42" s="946">
        <v>0</v>
      </c>
      <c r="E42" s="943">
        <f>C42+D42</f>
        <v>0</v>
      </c>
      <c r="F42" s="946">
        <v>0</v>
      </c>
      <c r="G42" s="946">
        <v>0</v>
      </c>
      <c r="H42" s="943">
        <f>E42-F42</f>
        <v>0</v>
      </c>
    </row>
    <row r="43" spans="2:8">
      <c r="B43" s="1125" t="s">
        <v>874</v>
      </c>
      <c r="C43" s="946">
        <v>0</v>
      </c>
      <c r="D43" s="946">
        <v>0</v>
      </c>
      <c r="E43" s="943">
        <f>C43+D43</f>
        <v>0</v>
      </c>
      <c r="F43" s="946">
        <v>0</v>
      </c>
      <c r="G43" s="946">
        <v>0</v>
      </c>
      <c r="H43" s="943">
        <f>E43-F43</f>
        <v>0</v>
      </c>
    </row>
    <row r="44" spans="2:8">
      <c r="B44" s="1125" t="s">
        <v>875</v>
      </c>
      <c r="C44" s="946">
        <v>0</v>
      </c>
      <c r="D44" s="946">
        <v>0</v>
      </c>
      <c r="E44" s="943">
        <f>C44+D44</f>
        <v>0</v>
      </c>
      <c r="F44" s="946">
        <v>0</v>
      </c>
      <c r="G44" s="946">
        <v>0</v>
      </c>
      <c r="H44" s="943">
        <f>E44-F44</f>
        <v>0</v>
      </c>
    </row>
    <row r="45" spans="2:8" ht="15" customHeight="1" thickBot="1">
      <c r="B45" s="1129"/>
      <c r="C45" s="941"/>
      <c r="D45" s="941"/>
      <c r="E45" s="941"/>
      <c r="F45" s="941"/>
      <c r="G45" s="941"/>
      <c r="H45" s="941"/>
    </row>
    <row r="46" spans="2:8" ht="15" customHeight="1" thickBot="1">
      <c r="B46" s="1131"/>
      <c r="C46" s="1132">
        <f>SUM(C40,C29,C10,C20)</f>
        <v>138260283.41649699</v>
      </c>
      <c r="D46" s="1132">
        <f>SUM(D40,D29,D20,D10)</f>
        <v>2683490</v>
      </c>
      <c r="E46" s="1132">
        <f>C46+D46</f>
        <v>140943773.41649699</v>
      </c>
      <c r="F46" s="1132">
        <f>SUM(F40,F29,F10,F20)</f>
        <v>52183974.449999996</v>
      </c>
      <c r="G46" s="1132">
        <f>SUM(G40,G29,G20,G10)</f>
        <v>52183974.449999996</v>
      </c>
      <c r="H46" s="1132">
        <f>E46-F46</f>
        <v>88759798.966497004</v>
      </c>
    </row>
    <row r="47" spans="2:8">
      <c r="B47" s="1"/>
      <c r="C47" s="1"/>
      <c r="D47" s="1"/>
      <c r="E47" s="1"/>
      <c r="F47" s="1"/>
      <c r="G47" s="1"/>
      <c r="H47" s="1"/>
    </row>
    <row r="53" ht="18" customHeight="1"/>
    <row r="55" ht="15" customHeight="1"/>
    <row r="56" ht="15" customHeight="1"/>
    <row r="64" ht="15" customHeight="1"/>
    <row r="65" ht="15" customHeight="1"/>
    <row r="75" ht="15" customHeight="1"/>
    <row r="76" ht="24.75" customHeight="1"/>
    <row r="81" ht="15" customHeight="1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635-CFF5-46B2-BBB5-E46C88B0B291}">
  <dimension ref="B1:I84"/>
  <sheetViews>
    <sheetView workbookViewId="0">
      <selection activeCell="D31" sqref="D31"/>
    </sheetView>
  </sheetViews>
  <sheetFormatPr baseColWidth="10" defaultColWidth="11.5703125" defaultRowHeight="15"/>
  <cols>
    <col min="1" max="1" width="3.7109375" style="857" customWidth="1"/>
    <col min="2" max="2" width="42.85546875" style="857" customWidth="1"/>
    <col min="3" max="3" width="14.42578125" style="857" bestFit="1" customWidth="1"/>
    <col min="4" max="4" width="13.85546875" style="857" customWidth="1"/>
    <col min="5" max="8" width="14.42578125" style="857" bestFit="1" customWidth="1"/>
    <col min="9" max="9" width="3.7109375" style="857" customWidth="1"/>
    <col min="10" max="16384" width="11.5703125" style="857"/>
  </cols>
  <sheetData>
    <row r="1" spans="2:9" ht="15" customHeight="1" thickBot="1"/>
    <row r="2" spans="2:9">
      <c r="B2" s="1872" t="s">
        <v>2987</v>
      </c>
      <c r="C2" s="1873"/>
      <c r="D2" s="1873"/>
      <c r="E2" s="1873"/>
      <c r="F2" s="1873"/>
      <c r="G2" s="1873"/>
      <c r="H2" s="1874"/>
      <c r="I2" s="858" t="s">
        <v>4848</v>
      </c>
    </row>
    <row r="3" spans="2:9">
      <c r="B3" s="1867" t="s">
        <v>5083</v>
      </c>
      <c r="C3" s="1868"/>
      <c r="D3" s="1868"/>
      <c r="E3" s="1868"/>
      <c r="F3" s="1868"/>
      <c r="G3" s="1868"/>
      <c r="H3" s="1875"/>
    </row>
    <row r="4" spans="2:9">
      <c r="B4" s="1867" t="s">
        <v>844</v>
      </c>
      <c r="C4" s="1868"/>
      <c r="D4" s="1868"/>
      <c r="E4" s="1868"/>
      <c r="F4" s="1868"/>
      <c r="G4" s="1868"/>
      <c r="H4" s="1875"/>
    </row>
    <row r="5" spans="2:9">
      <c r="B5" s="1876"/>
      <c r="C5" s="1877"/>
      <c r="D5" s="1877"/>
      <c r="E5" s="1877"/>
      <c r="F5" s="1877"/>
      <c r="G5" s="1877"/>
      <c r="H5" s="1878"/>
    </row>
    <row r="6" spans="2:9" ht="15.75" thickBot="1">
      <c r="B6" s="1879" t="s">
        <v>4865</v>
      </c>
      <c r="C6" s="1880"/>
      <c r="D6" s="1880"/>
      <c r="E6" s="1880"/>
      <c r="F6" s="1880"/>
      <c r="G6" s="1880"/>
      <c r="H6" s="1881"/>
    </row>
    <row r="7" spans="2:9" ht="15.75" thickBot="1">
      <c r="B7" s="1870" t="s">
        <v>4866</v>
      </c>
      <c r="C7" s="1845" t="s">
        <v>75</v>
      </c>
      <c r="D7" s="1845"/>
      <c r="E7" s="1845"/>
      <c r="F7" s="1845"/>
      <c r="G7" s="1846"/>
      <c r="H7" s="1842" t="s">
        <v>5084</v>
      </c>
    </row>
    <row r="8" spans="2:9" ht="24.75" thickBot="1">
      <c r="B8" s="1871"/>
      <c r="C8" s="1284" t="s">
        <v>4980</v>
      </c>
      <c r="D8" s="1284" t="s">
        <v>4795</v>
      </c>
      <c r="E8" s="1284" t="s">
        <v>4796</v>
      </c>
      <c r="F8" s="1284" t="s">
        <v>236</v>
      </c>
      <c r="G8" s="1284" t="s">
        <v>819</v>
      </c>
      <c r="H8" s="1843"/>
    </row>
    <row r="9" spans="2:9">
      <c r="B9" s="1294"/>
      <c r="C9" s="1295"/>
      <c r="D9" s="1295"/>
      <c r="E9" s="1295"/>
      <c r="F9" s="1295"/>
      <c r="G9" s="1295"/>
      <c r="H9" s="1295"/>
    </row>
    <row r="10" spans="2:9" ht="16.5" customHeight="1">
      <c r="B10" s="1128" t="s">
        <v>5173</v>
      </c>
      <c r="C10" s="941">
        <f>SUM(C11,C21,C30,C41)</f>
        <v>138260283.41649699</v>
      </c>
      <c r="D10" s="941">
        <f t="shared" ref="D10:H10" si="0">SUM(D11,D21,D30,D41)</f>
        <v>2683490</v>
      </c>
      <c r="E10" s="941">
        <f t="shared" si="0"/>
        <v>140943773.41649699</v>
      </c>
      <c r="F10" s="941">
        <f t="shared" si="0"/>
        <v>52183974.449999996</v>
      </c>
      <c r="G10" s="941">
        <f t="shared" si="0"/>
        <v>52183974.449999996</v>
      </c>
      <c r="H10" s="941">
        <f t="shared" si="0"/>
        <v>88759798.966497004</v>
      </c>
    </row>
    <row r="11" spans="2:9">
      <c r="B11" s="1296" t="s">
        <v>5174</v>
      </c>
      <c r="C11" s="941">
        <f>SUM(C12:C19)</f>
        <v>0</v>
      </c>
      <c r="D11" s="941">
        <f t="shared" ref="D11:H11" si="1">SUM(D12:D19)</f>
        <v>0</v>
      </c>
      <c r="E11" s="941">
        <f t="shared" si="1"/>
        <v>0</v>
      </c>
      <c r="F11" s="941">
        <f t="shared" si="1"/>
        <v>0</v>
      </c>
      <c r="G11" s="941">
        <f t="shared" si="1"/>
        <v>0</v>
      </c>
      <c r="H11" s="941">
        <f t="shared" si="1"/>
        <v>0</v>
      </c>
    </row>
    <row r="12" spans="2:9">
      <c r="B12" s="1125" t="s">
        <v>5175</v>
      </c>
      <c r="C12" s="946">
        <v>0</v>
      </c>
      <c r="D12" s="946">
        <v>0</v>
      </c>
      <c r="E12" s="943">
        <f>SUM(C12:D12)</f>
        <v>0</v>
      </c>
      <c r="F12" s="946">
        <v>0</v>
      </c>
      <c r="G12" s="946">
        <v>0</v>
      </c>
      <c r="H12" s="943">
        <f>SUM(E12-F12)</f>
        <v>0</v>
      </c>
    </row>
    <row r="13" spans="2:9">
      <c r="B13" s="1125" t="s">
        <v>5176</v>
      </c>
      <c r="C13" s="946">
        <v>0</v>
      </c>
      <c r="D13" s="946">
        <v>0</v>
      </c>
      <c r="E13" s="943">
        <f t="shared" ref="E13:E19" si="2">SUM(C13:D13)</f>
        <v>0</v>
      </c>
      <c r="F13" s="946">
        <v>0</v>
      </c>
      <c r="G13" s="946">
        <v>0</v>
      </c>
      <c r="H13" s="943">
        <f t="shared" ref="H13:H19" si="3">SUM(E13-F13)</f>
        <v>0</v>
      </c>
    </row>
    <row r="14" spans="2:9">
      <c r="B14" s="1125" t="s">
        <v>5177</v>
      </c>
      <c r="C14" s="946">
        <v>0</v>
      </c>
      <c r="D14" s="946">
        <v>0</v>
      </c>
      <c r="E14" s="943">
        <f t="shared" si="2"/>
        <v>0</v>
      </c>
      <c r="F14" s="946">
        <v>0</v>
      </c>
      <c r="G14" s="946">
        <v>0</v>
      </c>
      <c r="H14" s="943">
        <f>SUM(E14-F14)</f>
        <v>0</v>
      </c>
    </row>
    <row r="15" spans="2:9">
      <c r="B15" s="1125" t="s">
        <v>5178</v>
      </c>
      <c r="C15" s="946">
        <v>0</v>
      </c>
      <c r="D15" s="946">
        <v>0</v>
      </c>
      <c r="E15" s="943">
        <f t="shared" si="2"/>
        <v>0</v>
      </c>
      <c r="F15" s="946">
        <v>0</v>
      </c>
      <c r="G15" s="946">
        <v>0</v>
      </c>
      <c r="H15" s="943">
        <f t="shared" si="3"/>
        <v>0</v>
      </c>
    </row>
    <row r="16" spans="2:9">
      <c r="B16" s="1125" t="s">
        <v>5179</v>
      </c>
      <c r="C16" s="946">
        <v>0</v>
      </c>
      <c r="D16" s="946">
        <v>0</v>
      </c>
      <c r="E16" s="943">
        <f t="shared" si="2"/>
        <v>0</v>
      </c>
      <c r="F16" s="946">
        <v>0</v>
      </c>
      <c r="G16" s="946">
        <v>0</v>
      </c>
      <c r="H16" s="943">
        <f t="shared" si="3"/>
        <v>0</v>
      </c>
    </row>
    <row r="17" spans="2:8">
      <c r="B17" s="1125" t="s">
        <v>5180</v>
      </c>
      <c r="C17" s="946">
        <v>0</v>
      </c>
      <c r="D17" s="946">
        <v>0</v>
      </c>
      <c r="E17" s="943">
        <f t="shared" si="2"/>
        <v>0</v>
      </c>
      <c r="F17" s="946">
        <v>0</v>
      </c>
      <c r="G17" s="946">
        <v>0</v>
      </c>
      <c r="H17" s="943">
        <f t="shared" si="3"/>
        <v>0</v>
      </c>
    </row>
    <row r="18" spans="2:8" ht="30" customHeight="1">
      <c r="B18" s="1125" t="s">
        <v>5181</v>
      </c>
      <c r="C18" s="946">
        <v>0</v>
      </c>
      <c r="D18" s="946">
        <v>0</v>
      </c>
      <c r="E18" s="943">
        <f t="shared" si="2"/>
        <v>0</v>
      </c>
      <c r="F18" s="946">
        <v>0</v>
      </c>
      <c r="G18" s="946">
        <v>0</v>
      </c>
      <c r="H18" s="943">
        <f t="shared" si="3"/>
        <v>0</v>
      </c>
    </row>
    <row r="19" spans="2:8">
      <c r="B19" s="1125" t="s">
        <v>5182</v>
      </c>
      <c r="C19" s="946">
        <v>0</v>
      </c>
      <c r="D19" s="946">
        <v>0</v>
      </c>
      <c r="E19" s="943">
        <f t="shared" si="2"/>
        <v>0</v>
      </c>
      <c r="F19" s="946">
        <v>0</v>
      </c>
      <c r="G19" s="946">
        <v>0</v>
      </c>
      <c r="H19" s="943">
        <f t="shared" si="3"/>
        <v>0</v>
      </c>
    </row>
    <row r="20" spans="2:8" ht="15" customHeight="1">
      <c r="B20" s="1297"/>
      <c r="C20" s="941"/>
      <c r="D20" s="941"/>
      <c r="E20" s="941"/>
      <c r="F20" s="941"/>
      <c r="G20" s="941"/>
      <c r="H20" s="941"/>
    </row>
    <row r="21" spans="2:8" ht="15" customHeight="1">
      <c r="B21" s="1297" t="s">
        <v>5183</v>
      </c>
      <c r="C21" s="941">
        <f>SUM(C22:C28)</f>
        <v>0</v>
      </c>
      <c r="D21" s="941">
        <f t="shared" ref="D21:H21" si="4">SUM(D22:D28)</f>
        <v>0</v>
      </c>
      <c r="E21" s="941">
        <f t="shared" si="4"/>
        <v>0</v>
      </c>
      <c r="F21" s="941">
        <f t="shared" si="4"/>
        <v>0</v>
      </c>
      <c r="G21" s="941">
        <f t="shared" si="4"/>
        <v>0</v>
      </c>
      <c r="H21" s="941">
        <f t="shared" si="4"/>
        <v>0</v>
      </c>
    </row>
    <row r="22" spans="2:8">
      <c r="B22" s="1125" t="s">
        <v>5184</v>
      </c>
      <c r="C22" s="946">
        <v>0</v>
      </c>
      <c r="D22" s="946">
        <v>0</v>
      </c>
      <c r="E22" s="943">
        <f t="shared" ref="E22:E28" si="5">SUM(C22:D22)</f>
        <v>0</v>
      </c>
      <c r="F22" s="946">
        <v>0</v>
      </c>
      <c r="G22" s="946">
        <v>0</v>
      </c>
      <c r="H22" s="943">
        <f t="shared" ref="H22:H28" si="6">SUM(E22-F22)</f>
        <v>0</v>
      </c>
    </row>
    <row r="23" spans="2:8">
      <c r="B23" s="1125" t="s">
        <v>5185</v>
      </c>
      <c r="C23" s="946">
        <v>0</v>
      </c>
      <c r="D23" s="946">
        <v>0</v>
      </c>
      <c r="E23" s="943">
        <f t="shared" si="5"/>
        <v>0</v>
      </c>
      <c r="F23" s="946">
        <v>0</v>
      </c>
      <c r="G23" s="946">
        <v>0</v>
      </c>
      <c r="H23" s="943">
        <f t="shared" si="6"/>
        <v>0</v>
      </c>
    </row>
    <row r="24" spans="2:8">
      <c r="B24" s="1125" t="s">
        <v>5186</v>
      </c>
      <c r="C24" s="946">
        <v>0</v>
      </c>
      <c r="D24" s="946">
        <v>0</v>
      </c>
      <c r="E24" s="943">
        <f t="shared" si="5"/>
        <v>0</v>
      </c>
      <c r="F24" s="946">
        <v>0</v>
      </c>
      <c r="G24" s="946">
        <v>0</v>
      </c>
      <c r="H24" s="943">
        <f t="shared" si="6"/>
        <v>0</v>
      </c>
    </row>
    <row r="25" spans="2:8" ht="24">
      <c r="B25" s="1125" t="s">
        <v>5187</v>
      </c>
      <c r="C25" s="946">
        <v>0</v>
      </c>
      <c r="D25" s="946">
        <v>0</v>
      </c>
      <c r="E25" s="943">
        <f t="shared" si="5"/>
        <v>0</v>
      </c>
      <c r="F25" s="946">
        <v>0</v>
      </c>
      <c r="G25" s="946">
        <v>0</v>
      </c>
      <c r="H25" s="943">
        <f t="shared" si="6"/>
        <v>0</v>
      </c>
    </row>
    <row r="26" spans="2:8">
      <c r="B26" s="1125" t="s">
        <v>5188</v>
      </c>
      <c r="C26" s="931">
        <v>0</v>
      </c>
      <c r="D26" s="931">
        <v>0</v>
      </c>
      <c r="E26" s="943">
        <f t="shared" si="5"/>
        <v>0</v>
      </c>
      <c r="F26" s="931">
        <v>0</v>
      </c>
      <c r="G26" s="931">
        <v>0</v>
      </c>
      <c r="H26" s="943">
        <f t="shared" si="6"/>
        <v>0</v>
      </c>
    </row>
    <row r="27" spans="2:8">
      <c r="B27" s="1125" t="s">
        <v>5189</v>
      </c>
      <c r="C27" s="946">
        <v>0</v>
      </c>
      <c r="D27" s="946">
        <v>0</v>
      </c>
      <c r="E27" s="943">
        <f t="shared" si="5"/>
        <v>0</v>
      </c>
      <c r="F27" s="946">
        <v>0</v>
      </c>
      <c r="G27" s="946">
        <v>0</v>
      </c>
      <c r="H27" s="943">
        <f t="shared" si="6"/>
        <v>0</v>
      </c>
    </row>
    <row r="28" spans="2:8">
      <c r="B28" s="1125" t="s">
        <v>5190</v>
      </c>
      <c r="C28" s="946">
        <v>0</v>
      </c>
      <c r="D28" s="946">
        <v>0</v>
      </c>
      <c r="E28" s="943">
        <f t="shared" si="5"/>
        <v>0</v>
      </c>
      <c r="F28" s="946">
        <v>0</v>
      </c>
      <c r="G28" s="946">
        <v>0</v>
      </c>
      <c r="H28" s="943">
        <f t="shared" si="6"/>
        <v>0</v>
      </c>
    </row>
    <row r="29" spans="2:8" ht="15" customHeight="1">
      <c r="B29" s="1297"/>
      <c r="C29" s="941"/>
      <c r="D29" s="941"/>
      <c r="E29" s="941"/>
      <c r="F29" s="941"/>
      <c r="G29" s="941"/>
      <c r="H29" s="941"/>
    </row>
    <row r="30" spans="2:8" ht="30" customHeight="1">
      <c r="B30" s="1297" t="s">
        <v>5191</v>
      </c>
      <c r="C30" s="941">
        <f>SUM(C31:C39)</f>
        <v>138260283.41649699</v>
      </c>
      <c r="D30" s="941">
        <f t="shared" ref="D30:H30" si="7">SUM(D31:D39)</f>
        <v>2683490</v>
      </c>
      <c r="E30" s="941">
        <f t="shared" si="7"/>
        <v>140943773.41649699</v>
      </c>
      <c r="F30" s="941">
        <f t="shared" si="7"/>
        <v>52183974.449999996</v>
      </c>
      <c r="G30" s="941">
        <f t="shared" si="7"/>
        <v>52183974.449999996</v>
      </c>
      <c r="H30" s="941">
        <f t="shared" si="7"/>
        <v>88759798.966497004</v>
      </c>
    </row>
    <row r="31" spans="2:8" ht="24">
      <c r="B31" s="1125" t="s">
        <v>5192</v>
      </c>
      <c r="C31" s="946">
        <f>+CFG!D32</f>
        <v>138260283.41649699</v>
      </c>
      <c r="D31" s="946">
        <f>+CFG!E32</f>
        <v>2683490</v>
      </c>
      <c r="E31" s="943">
        <f t="shared" ref="E31:E39" si="8">SUM(C31:D31)</f>
        <v>140943773.41649699</v>
      </c>
      <c r="F31" s="946">
        <f>+CFG!G32</f>
        <v>52183974.449999996</v>
      </c>
      <c r="G31" s="946">
        <f>+CFG!H32</f>
        <v>52183974.449999996</v>
      </c>
      <c r="H31" s="943">
        <f t="shared" ref="H31:H39" si="9">SUM(E31-F31)</f>
        <v>88759798.966497004</v>
      </c>
    </row>
    <row r="32" spans="2:8">
      <c r="B32" s="1125" t="s">
        <v>5193</v>
      </c>
      <c r="C32" s="946">
        <v>0</v>
      </c>
      <c r="D32" s="946">
        <v>0</v>
      </c>
      <c r="E32" s="943">
        <f t="shared" si="8"/>
        <v>0</v>
      </c>
      <c r="F32" s="946">
        <v>0</v>
      </c>
      <c r="G32" s="946">
        <v>0</v>
      </c>
      <c r="H32" s="943">
        <f t="shared" si="9"/>
        <v>0</v>
      </c>
    </row>
    <row r="33" spans="2:8">
      <c r="B33" s="1125" t="s">
        <v>5194</v>
      </c>
      <c r="C33" s="946">
        <v>0</v>
      </c>
      <c r="D33" s="946">
        <v>0</v>
      </c>
      <c r="E33" s="943">
        <f t="shared" si="8"/>
        <v>0</v>
      </c>
      <c r="F33" s="946">
        <v>0</v>
      </c>
      <c r="G33" s="946">
        <v>0</v>
      </c>
      <c r="H33" s="943">
        <f t="shared" si="9"/>
        <v>0</v>
      </c>
    </row>
    <row r="34" spans="2:8">
      <c r="B34" s="1125" t="s">
        <v>5195</v>
      </c>
      <c r="C34" s="946">
        <v>0</v>
      </c>
      <c r="D34" s="946">
        <v>0</v>
      </c>
      <c r="E34" s="943">
        <f t="shared" si="8"/>
        <v>0</v>
      </c>
      <c r="F34" s="946">
        <v>0</v>
      </c>
      <c r="G34" s="946">
        <v>0</v>
      </c>
      <c r="H34" s="943">
        <f t="shared" si="9"/>
        <v>0</v>
      </c>
    </row>
    <row r="35" spans="2:8">
      <c r="B35" s="1125" t="s">
        <v>5196</v>
      </c>
      <c r="C35" s="946">
        <v>0</v>
      </c>
      <c r="D35" s="946">
        <v>0</v>
      </c>
      <c r="E35" s="943">
        <f t="shared" si="8"/>
        <v>0</v>
      </c>
      <c r="F35" s="946">
        <v>0</v>
      </c>
      <c r="G35" s="946">
        <v>0</v>
      </c>
      <c r="H35" s="943">
        <f t="shared" si="9"/>
        <v>0</v>
      </c>
    </row>
    <row r="36" spans="2:8">
      <c r="B36" s="1125" t="s">
        <v>5197</v>
      </c>
      <c r="C36" s="946">
        <v>0</v>
      </c>
      <c r="D36" s="946">
        <v>0</v>
      </c>
      <c r="E36" s="943">
        <f t="shared" si="8"/>
        <v>0</v>
      </c>
      <c r="F36" s="946">
        <v>0</v>
      </c>
      <c r="G36" s="946">
        <v>0</v>
      </c>
      <c r="H36" s="943">
        <f t="shared" si="9"/>
        <v>0</v>
      </c>
    </row>
    <row r="37" spans="2:8">
      <c r="B37" s="1125" t="s">
        <v>5198</v>
      </c>
      <c r="C37" s="946">
        <v>0</v>
      </c>
      <c r="D37" s="946">
        <v>0</v>
      </c>
      <c r="E37" s="943">
        <f t="shared" si="8"/>
        <v>0</v>
      </c>
      <c r="F37" s="946">
        <v>0</v>
      </c>
      <c r="G37" s="946">
        <v>0</v>
      </c>
      <c r="H37" s="943">
        <f t="shared" si="9"/>
        <v>0</v>
      </c>
    </row>
    <row r="38" spans="2:8">
      <c r="B38" s="1125" t="s">
        <v>5199</v>
      </c>
      <c r="C38" s="946">
        <v>0</v>
      </c>
      <c r="D38" s="946">
        <v>0</v>
      </c>
      <c r="E38" s="943">
        <f t="shared" si="8"/>
        <v>0</v>
      </c>
      <c r="F38" s="946">
        <v>0</v>
      </c>
      <c r="G38" s="946">
        <v>0</v>
      </c>
      <c r="H38" s="943">
        <f t="shared" si="9"/>
        <v>0</v>
      </c>
    </row>
    <row r="39" spans="2:8" ht="24">
      <c r="B39" s="1125" t="s">
        <v>5200</v>
      </c>
      <c r="C39" s="946">
        <v>0</v>
      </c>
      <c r="D39" s="946">
        <v>0</v>
      </c>
      <c r="E39" s="943">
        <f t="shared" si="8"/>
        <v>0</v>
      </c>
      <c r="F39" s="946">
        <v>0</v>
      </c>
      <c r="G39" s="946">
        <v>0</v>
      </c>
      <c r="H39" s="943">
        <f t="shared" si="9"/>
        <v>0</v>
      </c>
    </row>
    <row r="40" spans="2:8" ht="15" customHeight="1">
      <c r="B40" s="1297"/>
      <c r="C40" s="941"/>
      <c r="D40" s="941"/>
      <c r="E40" s="941"/>
      <c r="F40" s="941"/>
      <c r="G40" s="941"/>
      <c r="H40" s="941"/>
    </row>
    <row r="41" spans="2:8" ht="21.75" customHeight="1">
      <c r="B41" s="1297" t="s">
        <v>5201</v>
      </c>
      <c r="C41" s="941">
        <f>SUM(C42:C45)</f>
        <v>0</v>
      </c>
      <c r="D41" s="941">
        <f t="shared" ref="D41:G41" si="10">SUM(D42:D45)</f>
        <v>0</v>
      </c>
      <c r="E41" s="941">
        <f t="shared" si="10"/>
        <v>0</v>
      </c>
      <c r="F41" s="941">
        <f t="shared" si="10"/>
        <v>0</v>
      </c>
      <c r="G41" s="941">
        <f t="shared" si="10"/>
        <v>0</v>
      </c>
      <c r="H41" s="941">
        <f>SUM(H42:H45)</f>
        <v>0</v>
      </c>
    </row>
    <row r="42" spans="2:8" ht="24">
      <c r="B42" s="1125" t="s">
        <v>5202</v>
      </c>
      <c r="C42" s="946">
        <v>0</v>
      </c>
      <c r="D42" s="946">
        <v>0</v>
      </c>
      <c r="E42" s="943">
        <f t="shared" ref="E42:E45" si="11">SUM(C42:D42)</f>
        <v>0</v>
      </c>
      <c r="F42" s="946">
        <v>0</v>
      </c>
      <c r="G42" s="946">
        <v>0</v>
      </c>
      <c r="H42" s="943">
        <f t="shared" ref="H42:H45" si="12">SUM(E42-F42)</f>
        <v>0</v>
      </c>
    </row>
    <row r="43" spans="2:8" ht="36">
      <c r="B43" s="1125" t="s">
        <v>5203</v>
      </c>
      <c r="C43" s="946">
        <v>0</v>
      </c>
      <c r="D43" s="946">
        <v>0</v>
      </c>
      <c r="E43" s="943">
        <f t="shared" si="11"/>
        <v>0</v>
      </c>
      <c r="F43" s="946">
        <v>0</v>
      </c>
      <c r="G43" s="946">
        <v>0</v>
      </c>
      <c r="H43" s="943">
        <f t="shared" si="12"/>
        <v>0</v>
      </c>
    </row>
    <row r="44" spans="2:8">
      <c r="B44" s="1125" t="s">
        <v>5204</v>
      </c>
      <c r="C44" s="946">
        <v>0</v>
      </c>
      <c r="D44" s="946">
        <v>0</v>
      </c>
      <c r="E44" s="943">
        <f t="shared" si="11"/>
        <v>0</v>
      </c>
      <c r="F44" s="946">
        <v>0</v>
      </c>
      <c r="G44" s="946">
        <v>0</v>
      </c>
      <c r="H44" s="943">
        <f t="shared" si="12"/>
        <v>0</v>
      </c>
    </row>
    <row r="45" spans="2:8">
      <c r="B45" s="1125" t="s">
        <v>5205</v>
      </c>
      <c r="C45" s="946">
        <v>0</v>
      </c>
      <c r="D45" s="946">
        <v>0</v>
      </c>
      <c r="E45" s="943">
        <f t="shared" si="11"/>
        <v>0</v>
      </c>
      <c r="F45" s="946">
        <v>0</v>
      </c>
      <c r="G45" s="946">
        <v>0</v>
      </c>
      <c r="H45" s="943">
        <f t="shared" si="12"/>
        <v>0</v>
      </c>
    </row>
    <row r="46" spans="2:8" ht="15" customHeight="1">
      <c r="B46" s="1297"/>
      <c r="C46" s="941"/>
      <c r="D46" s="941"/>
      <c r="E46" s="941"/>
      <c r="F46" s="941"/>
      <c r="G46" s="941"/>
      <c r="H46" s="941"/>
    </row>
    <row r="47" spans="2:8" ht="15" customHeight="1">
      <c r="B47" s="1130" t="s">
        <v>5206</v>
      </c>
      <c r="C47" s="941">
        <f>SUM(C48,C58,C67,C78)</f>
        <v>0</v>
      </c>
      <c r="D47" s="941">
        <f t="shared" ref="D47:H47" si="13">SUM(D48,D58,D67,D78)</f>
        <v>0</v>
      </c>
      <c r="E47" s="941">
        <f t="shared" si="13"/>
        <v>0</v>
      </c>
      <c r="F47" s="941">
        <f t="shared" si="13"/>
        <v>0</v>
      </c>
      <c r="G47" s="941">
        <f t="shared" si="13"/>
        <v>0</v>
      </c>
      <c r="H47" s="941">
        <f t="shared" si="13"/>
        <v>0</v>
      </c>
    </row>
    <row r="48" spans="2:8" ht="15" customHeight="1">
      <c r="B48" s="1297" t="s">
        <v>5174</v>
      </c>
      <c r="C48" s="941">
        <f>SUM(C49:C56)</f>
        <v>0</v>
      </c>
      <c r="D48" s="941">
        <f t="shared" ref="D48:H48" si="14">SUM(D49:D56)</f>
        <v>0</v>
      </c>
      <c r="E48" s="941">
        <f t="shared" si="14"/>
        <v>0</v>
      </c>
      <c r="F48" s="941">
        <f t="shared" si="14"/>
        <v>0</v>
      </c>
      <c r="G48" s="941">
        <f t="shared" si="14"/>
        <v>0</v>
      </c>
      <c r="H48" s="941">
        <f t="shared" si="14"/>
        <v>0</v>
      </c>
    </row>
    <row r="49" spans="2:8">
      <c r="B49" s="1125" t="s">
        <v>5175</v>
      </c>
      <c r="C49" s="946">
        <v>0</v>
      </c>
      <c r="D49" s="946">
        <v>0</v>
      </c>
      <c r="E49" s="943">
        <f t="shared" ref="E49:E56" si="15">SUM(C49:D49)</f>
        <v>0</v>
      </c>
      <c r="F49" s="946">
        <v>0</v>
      </c>
      <c r="G49" s="946">
        <v>0</v>
      </c>
      <c r="H49" s="943">
        <f t="shared" ref="H49:H56" si="16">SUM(E49-F49)</f>
        <v>0</v>
      </c>
    </row>
    <row r="50" spans="2:8">
      <c r="B50" s="1125" t="s">
        <v>5176</v>
      </c>
      <c r="C50" s="946">
        <v>0</v>
      </c>
      <c r="D50" s="946">
        <v>0</v>
      </c>
      <c r="E50" s="943">
        <f t="shared" si="15"/>
        <v>0</v>
      </c>
      <c r="F50" s="946">
        <v>0</v>
      </c>
      <c r="G50" s="946">
        <v>0</v>
      </c>
      <c r="H50" s="943">
        <f t="shared" si="16"/>
        <v>0</v>
      </c>
    </row>
    <row r="51" spans="2:8">
      <c r="B51" s="1125" t="s">
        <v>5177</v>
      </c>
      <c r="C51" s="946">
        <v>0</v>
      </c>
      <c r="D51" s="946">
        <v>0</v>
      </c>
      <c r="E51" s="943">
        <f t="shared" si="15"/>
        <v>0</v>
      </c>
      <c r="F51" s="946">
        <v>0</v>
      </c>
      <c r="G51" s="946">
        <v>0</v>
      </c>
      <c r="H51" s="943">
        <f t="shared" si="16"/>
        <v>0</v>
      </c>
    </row>
    <row r="52" spans="2:8">
      <c r="B52" s="1125" t="s">
        <v>5178</v>
      </c>
      <c r="C52" s="946">
        <v>0</v>
      </c>
      <c r="D52" s="946">
        <v>0</v>
      </c>
      <c r="E52" s="943">
        <f t="shared" si="15"/>
        <v>0</v>
      </c>
      <c r="F52" s="946">
        <v>0</v>
      </c>
      <c r="G52" s="946">
        <v>0</v>
      </c>
      <c r="H52" s="943">
        <f t="shared" si="16"/>
        <v>0</v>
      </c>
    </row>
    <row r="53" spans="2:8">
      <c r="B53" s="1125" t="s">
        <v>5179</v>
      </c>
      <c r="C53" s="946">
        <v>0</v>
      </c>
      <c r="D53" s="946">
        <v>0</v>
      </c>
      <c r="E53" s="943">
        <f t="shared" si="15"/>
        <v>0</v>
      </c>
      <c r="F53" s="946">
        <v>0</v>
      </c>
      <c r="G53" s="946">
        <v>0</v>
      </c>
      <c r="H53" s="943">
        <f t="shared" si="16"/>
        <v>0</v>
      </c>
    </row>
    <row r="54" spans="2:8">
      <c r="B54" s="1125" t="s">
        <v>5180</v>
      </c>
      <c r="C54" s="946">
        <v>0</v>
      </c>
      <c r="D54" s="946">
        <v>0</v>
      </c>
      <c r="E54" s="943">
        <f t="shared" si="15"/>
        <v>0</v>
      </c>
      <c r="F54" s="946">
        <v>0</v>
      </c>
      <c r="G54" s="946">
        <v>0</v>
      </c>
      <c r="H54" s="943">
        <f t="shared" si="16"/>
        <v>0</v>
      </c>
    </row>
    <row r="55" spans="2:8" ht="18" customHeight="1">
      <c r="B55" s="1125" t="s">
        <v>5181</v>
      </c>
      <c r="C55" s="946">
        <v>0</v>
      </c>
      <c r="D55" s="946">
        <v>0</v>
      </c>
      <c r="E55" s="943">
        <f t="shared" si="15"/>
        <v>0</v>
      </c>
      <c r="F55" s="946">
        <v>0</v>
      </c>
      <c r="G55" s="946">
        <v>0</v>
      </c>
      <c r="H55" s="943">
        <f t="shared" si="16"/>
        <v>0</v>
      </c>
    </row>
    <row r="56" spans="2:8">
      <c r="B56" s="1125" t="s">
        <v>5182</v>
      </c>
      <c r="C56" s="946">
        <v>0</v>
      </c>
      <c r="D56" s="946">
        <v>0</v>
      </c>
      <c r="E56" s="943">
        <f t="shared" si="15"/>
        <v>0</v>
      </c>
      <c r="F56" s="946">
        <v>0</v>
      </c>
      <c r="G56" s="946">
        <v>0</v>
      </c>
      <c r="H56" s="943">
        <f t="shared" si="16"/>
        <v>0</v>
      </c>
    </row>
    <row r="57" spans="2:8" ht="15" customHeight="1">
      <c r="B57" s="1297"/>
      <c r="C57" s="941"/>
      <c r="D57" s="941"/>
      <c r="E57" s="941"/>
      <c r="F57" s="941"/>
      <c r="G57" s="941"/>
      <c r="H57" s="941"/>
    </row>
    <row r="58" spans="2:8" ht="15" customHeight="1">
      <c r="B58" s="1297" t="s">
        <v>5183</v>
      </c>
      <c r="C58" s="941">
        <f>SUM(C59:C65)</f>
        <v>0</v>
      </c>
      <c r="D58" s="941">
        <f t="shared" ref="D58:H58" si="17">SUM(D59:D65)</f>
        <v>0</v>
      </c>
      <c r="E58" s="941">
        <f t="shared" si="17"/>
        <v>0</v>
      </c>
      <c r="F58" s="941">
        <f t="shared" si="17"/>
        <v>0</v>
      </c>
      <c r="G58" s="941">
        <f t="shared" si="17"/>
        <v>0</v>
      </c>
      <c r="H58" s="941">
        <f t="shared" si="17"/>
        <v>0</v>
      </c>
    </row>
    <row r="59" spans="2:8">
      <c r="B59" s="1125" t="s">
        <v>5184</v>
      </c>
      <c r="C59" s="946">
        <v>0</v>
      </c>
      <c r="D59" s="946">
        <v>0</v>
      </c>
      <c r="E59" s="943">
        <f t="shared" ref="E59:E65" si="18">SUM(C59:D59)</f>
        <v>0</v>
      </c>
      <c r="F59" s="946">
        <v>0</v>
      </c>
      <c r="G59" s="946">
        <v>0</v>
      </c>
      <c r="H59" s="943">
        <f t="shared" ref="H59:H65" si="19">SUM(E59-F59)</f>
        <v>0</v>
      </c>
    </row>
    <row r="60" spans="2:8">
      <c r="B60" s="1125" t="s">
        <v>5185</v>
      </c>
      <c r="C60" s="946">
        <v>0</v>
      </c>
      <c r="D60" s="946">
        <v>0</v>
      </c>
      <c r="E60" s="943">
        <f t="shared" si="18"/>
        <v>0</v>
      </c>
      <c r="F60" s="946">
        <v>0</v>
      </c>
      <c r="G60" s="946">
        <v>0</v>
      </c>
      <c r="H60" s="943">
        <f t="shared" si="19"/>
        <v>0</v>
      </c>
    </row>
    <row r="61" spans="2:8">
      <c r="B61" s="1125" t="s">
        <v>5186</v>
      </c>
      <c r="C61" s="946">
        <v>0</v>
      </c>
      <c r="D61" s="946">
        <v>0</v>
      </c>
      <c r="E61" s="943">
        <f t="shared" si="18"/>
        <v>0</v>
      </c>
      <c r="F61" s="946">
        <v>0</v>
      </c>
      <c r="G61" s="946">
        <v>0</v>
      </c>
      <c r="H61" s="943">
        <f t="shared" si="19"/>
        <v>0</v>
      </c>
    </row>
    <row r="62" spans="2:8" ht="24">
      <c r="B62" s="1125" t="s">
        <v>5187</v>
      </c>
      <c r="C62" s="946">
        <v>0</v>
      </c>
      <c r="D62" s="946">
        <v>0</v>
      </c>
      <c r="E62" s="943">
        <f t="shared" si="18"/>
        <v>0</v>
      </c>
      <c r="F62" s="946">
        <v>0</v>
      </c>
      <c r="G62" s="946">
        <v>0</v>
      </c>
      <c r="H62" s="943">
        <f t="shared" si="19"/>
        <v>0</v>
      </c>
    </row>
    <row r="63" spans="2:8">
      <c r="B63" s="1125" t="s">
        <v>5188</v>
      </c>
      <c r="C63" s="931">
        <v>0</v>
      </c>
      <c r="D63" s="931">
        <v>0</v>
      </c>
      <c r="E63" s="943">
        <f t="shared" si="18"/>
        <v>0</v>
      </c>
      <c r="F63" s="931">
        <v>0</v>
      </c>
      <c r="G63" s="931">
        <v>0</v>
      </c>
      <c r="H63" s="943">
        <f t="shared" si="19"/>
        <v>0</v>
      </c>
    </row>
    <row r="64" spans="2:8">
      <c r="B64" s="1125" t="s">
        <v>5189</v>
      </c>
      <c r="C64" s="946">
        <v>0</v>
      </c>
      <c r="D64" s="946">
        <v>0</v>
      </c>
      <c r="E64" s="943">
        <f t="shared" si="18"/>
        <v>0</v>
      </c>
      <c r="F64" s="946">
        <v>0</v>
      </c>
      <c r="G64" s="946">
        <v>0</v>
      </c>
      <c r="H64" s="943">
        <f t="shared" si="19"/>
        <v>0</v>
      </c>
    </row>
    <row r="65" spans="2:8">
      <c r="B65" s="1125" t="s">
        <v>5190</v>
      </c>
      <c r="C65" s="946">
        <v>0</v>
      </c>
      <c r="D65" s="946">
        <v>0</v>
      </c>
      <c r="E65" s="943">
        <f t="shared" si="18"/>
        <v>0</v>
      </c>
      <c r="F65" s="946">
        <v>0</v>
      </c>
      <c r="G65" s="946">
        <v>0</v>
      </c>
      <c r="H65" s="943">
        <f t="shared" si="19"/>
        <v>0</v>
      </c>
    </row>
    <row r="66" spans="2:8" ht="15" customHeight="1">
      <c r="B66" s="1298"/>
      <c r="C66" s="941"/>
      <c r="D66" s="941"/>
      <c r="E66" s="941"/>
      <c r="F66" s="941"/>
      <c r="G66" s="941"/>
      <c r="H66" s="941"/>
    </row>
    <row r="67" spans="2:8" ht="30" customHeight="1">
      <c r="B67" s="1297" t="s">
        <v>5191</v>
      </c>
      <c r="C67" s="941">
        <f>SUM(C68:C76)</f>
        <v>0</v>
      </c>
      <c r="D67" s="941">
        <f t="shared" ref="D67:H67" si="20">SUM(D68:D76)</f>
        <v>0</v>
      </c>
      <c r="E67" s="941">
        <f t="shared" si="20"/>
        <v>0</v>
      </c>
      <c r="F67" s="941">
        <f t="shared" si="20"/>
        <v>0</v>
      </c>
      <c r="G67" s="941">
        <f t="shared" si="20"/>
        <v>0</v>
      </c>
      <c r="H67" s="941">
        <f t="shared" si="20"/>
        <v>0</v>
      </c>
    </row>
    <row r="68" spans="2:8" ht="24">
      <c r="B68" s="1125" t="s">
        <v>5192</v>
      </c>
      <c r="C68" s="946">
        <v>0</v>
      </c>
      <c r="D68" s="946">
        <v>0</v>
      </c>
      <c r="E68" s="943">
        <f t="shared" ref="E68:E76" si="21">SUM(C68:D68)</f>
        <v>0</v>
      </c>
      <c r="F68" s="946">
        <v>0</v>
      </c>
      <c r="G68" s="946">
        <v>0</v>
      </c>
      <c r="H68" s="943">
        <f t="shared" ref="H68:H76" si="22">SUM(E68-F68)</f>
        <v>0</v>
      </c>
    </row>
    <row r="69" spans="2:8">
      <c r="B69" s="1125" t="s">
        <v>5193</v>
      </c>
      <c r="C69" s="946">
        <v>0</v>
      </c>
      <c r="D69" s="946">
        <v>0</v>
      </c>
      <c r="E69" s="943">
        <f t="shared" si="21"/>
        <v>0</v>
      </c>
      <c r="F69" s="946">
        <v>0</v>
      </c>
      <c r="G69" s="946">
        <v>0</v>
      </c>
      <c r="H69" s="943">
        <f t="shared" si="22"/>
        <v>0</v>
      </c>
    </row>
    <row r="70" spans="2:8">
      <c r="B70" s="1125" t="s">
        <v>5194</v>
      </c>
      <c r="C70" s="946">
        <v>0</v>
      </c>
      <c r="D70" s="946">
        <v>0</v>
      </c>
      <c r="E70" s="943">
        <f t="shared" si="21"/>
        <v>0</v>
      </c>
      <c r="F70" s="946">
        <v>0</v>
      </c>
      <c r="G70" s="946">
        <v>0</v>
      </c>
      <c r="H70" s="943">
        <f t="shared" si="22"/>
        <v>0</v>
      </c>
    </row>
    <row r="71" spans="2:8">
      <c r="B71" s="1125" t="s">
        <v>5195</v>
      </c>
      <c r="C71" s="946">
        <v>0</v>
      </c>
      <c r="D71" s="946">
        <v>0</v>
      </c>
      <c r="E71" s="943">
        <f t="shared" si="21"/>
        <v>0</v>
      </c>
      <c r="F71" s="946">
        <v>0</v>
      </c>
      <c r="G71" s="946">
        <v>0</v>
      </c>
      <c r="H71" s="943">
        <f t="shared" si="22"/>
        <v>0</v>
      </c>
    </row>
    <row r="72" spans="2:8">
      <c r="B72" s="1125" t="s">
        <v>5196</v>
      </c>
      <c r="C72" s="946">
        <v>0</v>
      </c>
      <c r="D72" s="946">
        <v>0</v>
      </c>
      <c r="E72" s="943">
        <f t="shared" si="21"/>
        <v>0</v>
      </c>
      <c r="F72" s="946">
        <v>0</v>
      </c>
      <c r="G72" s="946">
        <v>0</v>
      </c>
      <c r="H72" s="943">
        <f t="shared" si="22"/>
        <v>0</v>
      </c>
    </row>
    <row r="73" spans="2:8">
      <c r="B73" s="1125" t="s">
        <v>5197</v>
      </c>
      <c r="C73" s="946">
        <v>0</v>
      </c>
      <c r="D73" s="946">
        <v>0</v>
      </c>
      <c r="E73" s="943">
        <f t="shared" si="21"/>
        <v>0</v>
      </c>
      <c r="F73" s="946">
        <v>0</v>
      </c>
      <c r="G73" s="946">
        <v>0</v>
      </c>
      <c r="H73" s="943">
        <f t="shared" si="22"/>
        <v>0</v>
      </c>
    </row>
    <row r="74" spans="2:8">
      <c r="B74" s="1125" t="s">
        <v>5198</v>
      </c>
      <c r="C74" s="946">
        <v>0</v>
      </c>
      <c r="D74" s="946">
        <v>0</v>
      </c>
      <c r="E74" s="943">
        <f t="shared" si="21"/>
        <v>0</v>
      </c>
      <c r="F74" s="946">
        <v>0</v>
      </c>
      <c r="G74" s="946">
        <v>0</v>
      </c>
      <c r="H74" s="943">
        <f t="shared" si="22"/>
        <v>0</v>
      </c>
    </row>
    <row r="75" spans="2:8">
      <c r="B75" s="1125" t="s">
        <v>5199</v>
      </c>
      <c r="C75" s="946">
        <v>0</v>
      </c>
      <c r="D75" s="946">
        <v>0</v>
      </c>
      <c r="E75" s="943">
        <f t="shared" si="21"/>
        <v>0</v>
      </c>
      <c r="F75" s="946">
        <v>0</v>
      </c>
      <c r="G75" s="946">
        <v>0</v>
      </c>
      <c r="H75" s="943">
        <f t="shared" si="22"/>
        <v>0</v>
      </c>
    </row>
    <row r="76" spans="2:8" ht="24">
      <c r="B76" s="1125" t="s">
        <v>5200</v>
      </c>
      <c r="C76" s="946">
        <v>0</v>
      </c>
      <c r="D76" s="946">
        <v>0</v>
      </c>
      <c r="E76" s="943">
        <f t="shared" si="21"/>
        <v>0</v>
      </c>
      <c r="F76" s="946">
        <v>0</v>
      </c>
      <c r="G76" s="946">
        <v>0</v>
      </c>
      <c r="H76" s="943">
        <f t="shared" si="22"/>
        <v>0</v>
      </c>
    </row>
    <row r="77" spans="2:8" ht="15" customHeight="1">
      <c r="B77" s="1297"/>
      <c r="C77" s="941"/>
      <c r="D77" s="941"/>
      <c r="E77" s="941"/>
      <c r="F77" s="941"/>
      <c r="G77" s="941"/>
      <c r="H77" s="941"/>
    </row>
    <row r="78" spans="2:8" ht="24.75" customHeight="1">
      <c r="B78" s="1297" t="s">
        <v>5201</v>
      </c>
      <c r="C78" s="941">
        <f>SUM(C79:C82)</f>
        <v>0</v>
      </c>
      <c r="D78" s="941">
        <f t="shared" ref="D78:H78" si="23">SUM(D79:D82)</f>
        <v>0</v>
      </c>
      <c r="E78" s="941">
        <f t="shared" si="23"/>
        <v>0</v>
      </c>
      <c r="F78" s="941">
        <f t="shared" si="23"/>
        <v>0</v>
      </c>
      <c r="G78" s="941">
        <f t="shared" si="23"/>
        <v>0</v>
      </c>
      <c r="H78" s="941">
        <f t="shared" si="23"/>
        <v>0</v>
      </c>
    </row>
    <row r="79" spans="2:8" ht="24">
      <c r="B79" s="1125" t="s">
        <v>5202</v>
      </c>
      <c r="C79" s="946">
        <v>0</v>
      </c>
      <c r="D79" s="946">
        <v>0</v>
      </c>
      <c r="E79" s="943">
        <f t="shared" ref="E79:E82" si="24">SUM(C79:D79)</f>
        <v>0</v>
      </c>
      <c r="F79" s="946">
        <v>0</v>
      </c>
      <c r="G79" s="946">
        <v>0</v>
      </c>
      <c r="H79" s="943">
        <f t="shared" ref="H79:H82" si="25">SUM(E79-F79)</f>
        <v>0</v>
      </c>
    </row>
    <row r="80" spans="2:8" ht="36">
      <c r="B80" s="1125" t="s">
        <v>5203</v>
      </c>
      <c r="C80" s="946">
        <v>0</v>
      </c>
      <c r="D80" s="946">
        <v>0</v>
      </c>
      <c r="E80" s="943">
        <f t="shared" si="24"/>
        <v>0</v>
      </c>
      <c r="F80" s="946">
        <v>0</v>
      </c>
      <c r="G80" s="946">
        <v>0</v>
      </c>
      <c r="H80" s="943">
        <f t="shared" si="25"/>
        <v>0</v>
      </c>
    </row>
    <row r="81" spans="2:8">
      <c r="B81" s="1125" t="s">
        <v>5204</v>
      </c>
      <c r="C81" s="946">
        <v>0</v>
      </c>
      <c r="D81" s="946">
        <v>0</v>
      </c>
      <c r="E81" s="943">
        <f t="shared" si="24"/>
        <v>0</v>
      </c>
      <c r="F81" s="946">
        <v>0</v>
      </c>
      <c r="G81" s="946">
        <v>0</v>
      </c>
      <c r="H81" s="943">
        <f t="shared" si="25"/>
        <v>0</v>
      </c>
    </row>
    <row r="82" spans="2:8">
      <c r="B82" s="1125" t="s">
        <v>5205</v>
      </c>
      <c r="C82" s="946">
        <v>0</v>
      </c>
      <c r="D82" s="946">
        <v>0</v>
      </c>
      <c r="E82" s="943">
        <f t="shared" si="24"/>
        <v>0</v>
      </c>
      <c r="F82" s="946">
        <v>0</v>
      </c>
      <c r="G82" s="946">
        <v>0</v>
      </c>
      <c r="H82" s="943">
        <f t="shared" si="25"/>
        <v>0</v>
      </c>
    </row>
    <row r="83" spans="2:8" ht="15" customHeight="1">
      <c r="B83" s="1297"/>
      <c r="C83" s="941"/>
      <c r="D83" s="941"/>
      <c r="E83" s="941"/>
      <c r="F83" s="941"/>
      <c r="G83" s="941"/>
      <c r="H83" s="941"/>
    </row>
    <row r="84" spans="2:8" ht="15.75" customHeight="1" thickBot="1">
      <c r="B84" s="1299" t="s">
        <v>5160</v>
      </c>
      <c r="C84" s="1300">
        <f>SUM(C10,C47)</f>
        <v>138260283.41649699</v>
      </c>
      <c r="D84" s="1300">
        <f t="shared" ref="D84:H84" si="26">SUM(D10,D47)</f>
        <v>2683490</v>
      </c>
      <c r="E84" s="1300">
        <f>SUM(E10,E47)</f>
        <v>140943773.41649699</v>
      </c>
      <c r="F84" s="1300">
        <f t="shared" si="26"/>
        <v>52183974.449999996</v>
      </c>
      <c r="G84" s="1300">
        <f t="shared" si="26"/>
        <v>52183974.449999996</v>
      </c>
      <c r="H84" s="1300">
        <f t="shared" si="26"/>
        <v>88759798.966497004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K42"/>
  <sheetViews>
    <sheetView topLeftCell="A22" workbookViewId="0">
      <selection activeCell="H17" sqref="H17"/>
    </sheetView>
  </sheetViews>
  <sheetFormatPr baseColWidth="10" defaultRowHeight="15"/>
  <cols>
    <col min="1" max="1" width="2.140625" style="354" customWidth="1"/>
    <col min="2" max="3" width="3.7109375" style="346" customWidth="1"/>
    <col min="4" max="4" width="65.7109375" style="346" customWidth="1"/>
    <col min="5" max="5" width="12.7109375" style="346" customWidth="1"/>
    <col min="6" max="6" width="14.28515625" style="346" customWidth="1"/>
    <col min="7" max="8" width="12.7109375" style="346" customWidth="1"/>
    <col min="9" max="9" width="11.42578125" style="346" customWidth="1"/>
    <col min="10" max="10" width="12.85546875" style="346" customWidth="1"/>
    <col min="11" max="11" width="3.140625" style="354" customWidth="1"/>
    <col min="12" max="16384" width="11.42578125" style="361"/>
  </cols>
  <sheetData>
    <row r="1" spans="2:10" s="354" customFormat="1" ht="6.75" customHeight="1">
      <c r="B1" s="317"/>
      <c r="C1" s="317"/>
      <c r="D1" s="317"/>
      <c r="E1" s="317"/>
      <c r="F1" s="317"/>
      <c r="G1" s="317"/>
      <c r="H1" s="317"/>
      <c r="I1" s="317"/>
    </row>
    <row r="2" spans="2:10">
      <c r="B2" s="1742" t="s">
        <v>2987</v>
      </c>
      <c r="C2" s="1743"/>
      <c r="D2" s="1743"/>
      <c r="E2" s="1743"/>
      <c r="F2" s="1743"/>
      <c r="G2" s="1743"/>
      <c r="H2" s="1743"/>
      <c r="I2" s="1743"/>
      <c r="J2" s="1744"/>
    </row>
    <row r="3" spans="2:10">
      <c r="B3" s="1745" t="s">
        <v>889</v>
      </c>
      <c r="C3" s="1746"/>
      <c r="D3" s="1746"/>
      <c r="E3" s="1746"/>
      <c r="F3" s="1746"/>
      <c r="G3" s="1746"/>
      <c r="H3" s="1746"/>
      <c r="I3" s="1746"/>
      <c r="J3" s="1747"/>
    </row>
    <row r="4" spans="2:10">
      <c r="B4" s="1748" t="str">
        <f>+EA!C3</f>
        <v>Del 1 de enero al 31 de diciembre de 2021</v>
      </c>
      <c r="C4" s="1749"/>
      <c r="D4" s="1749"/>
      <c r="E4" s="1749"/>
      <c r="F4" s="1749"/>
      <c r="G4" s="1749"/>
      <c r="H4" s="1749"/>
      <c r="I4" s="1749"/>
      <c r="J4" s="1750"/>
    </row>
    <row r="5" spans="2:10" s="354" customFormat="1" ht="10.5" customHeight="1">
      <c r="B5" s="506"/>
      <c r="C5" s="506"/>
      <c r="D5" s="507"/>
      <c r="E5" s="506"/>
      <c r="F5" s="506"/>
      <c r="G5" s="506"/>
      <c r="H5" s="506"/>
      <c r="I5" s="506"/>
      <c r="J5" s="506"/>
    </row>
    <row r="6" spans="2:10">
      <c r="B6" s="1859" t="s">
        <v>230</v>
      </c>
      <c r="C6" s="1884"/>
      <c r="D6" s="1860"/>
      <c r="E6" s="1828" t="s">
        <v>824</v>
      </c>
      <c r="F6" s="1828"/>
      <c r="G6" s="1828"/>
      <c r="H6" s="1828"/>
      <c r="I6" s="1828"/>
      <c r="J6" s="1828" t="s">
        <v>816</v>
      </c>
    </row>
    <row r="7" spans="2:10" ht="22.5">
      <c r="B7" s="1861"/>
      <c r="C7" s="1885"/>
      <c r="D7" s="1862"/>
      <c r="E7" s="653" t="s">
        <v>817</v>
      </c>
      <c r="F7" s="653" t="s">
        <v>818</v>
      </c>
      <c r="G7" s="653" t="s">
        <v>793</v>
      </c>
      <c r="H7" s="653" t="s">
        <v>236</v>
      </c>
      <c r="I7" s="653" t="s">
        <v>819</v>
      </c>
      <c r="J7" s="1828"/>
    </row>
    <row r="8" spans="2:10" ht="15.75" customHeight="1">
      <c r="B8" s="1863"/>
      <c r="C8" s="1886"/>
      <c r="D8" s="1864"/>
      <c r="E8" s="653">
        <v>1</v>
      </c>
      <c r="F8" s="653">
        <v>2</v>
      </c>
      <c r="G8" s="653" t="s">
        <v>820</v>
      </c>
      <c r="H8" s="653">
        <v>4</v>
      </c>
      <c r="I8" s="653">
        <v>5</v>
      </c>
      <c r="J8" s="653" t="s">
        <v>821</v>
      </c>
    </row>
    <row r="9" spans="2:10" ht="15" customHeight="1">
      <c r="B9" s="1887" t="s">
        <v>890</v>
      </c>
      <c r="C9" s="1888"/>
      <c r="D9" s="1889"/>
      <c r="E9" s="408"/>
      <c r="F9" s="409"/>
      <c r="G9" s="409"/>
      <c r="H9" s="409"/>
      <c r="I9" s="409"/>
      <c r="J9" s="409"/>
    </row>
    <row r="10" spans="2:10">
      <c r="B10" s="355"/>
      <c r="C10" s="1882" t="s">
        <v>891</v>
      </c>
      <c r="D10" s="1883"/>
      <c r="E10" s="410">
        <f>+E11+E12</f>
        <v>0</v>
      </c>
      <c r="F10" s="410">
        <f>+F11+F12</f>
        <v>0</v>
      </c>
      <c r="G10" s="381">
        <f>+E10+F10</f>
        <v>0</v>
      </c>
      <c r="H10" s="410">
        <f t="shared" ref="H10:I10" si="0">+H11+H12</f>
        <v>0</v>
      </c>
      <c r="I10" s="410">
        <f t="shared" si="0"/>
        <v>0</v>
      </c>
      <c r="J10" s="381">
        <f>+G10-H10</f>
        <v>0</v>
      </c>
    </row>
    <row r="11" spans="2:10">
      <c r="B11" s="355"/>
      <c r="C11" s="411"/>
      <c r="D11" s="356" t="s">
        <v>892</v>
      </c>
      <c r="E11" s="412"/>
      <c r="F11" s="374"/>
      <c r="G11" s="374">
        <f t="shared" ref="G11:G38" si="1">+E11+F11</f>
        <v>0</v>
      </c>
      <c r="H11" s="374"/>
      <c r="I11" s="374"/>
      <c r="J11" s="374">
        <f t="shared" ref="J11:J38" si="2">+G11-H11</f>
        <v>0</v>
      </c>
    </row>
    <row r="12" spans="2:10">
      <c r="B12" s="355"/>
      <c r="C12" s="411"/>
      <c r="D12" s="356" t="s">
        <v>893</v>
      </c>
      <c r="E12" s="412"/>
      <c r="F12" s="374"/>
      <c r="G12" s="374">
        <f t="shared" si="1"/>
        <v>0</v>
      </c>
      <c r="H12" s="374"/>
      <c r="I12" s="374"/>
      <c r="J12" s="374">
        <f t="shared" si="2"/>
        <v>0</v>
      </c>
    </row>
    <row r="13" spans="2:10">
      <c r="B13" s="355"/>
      <c r="C13" s="1882" t="s">
        <v>894</v>
      </c>
      <c r="D13" s="1883"/>
      <c r="E13" s="410">
        <f>SUM(E14:E21)</f>
        <v>137483289.13227999</v>
      </c>
      <c r="F13" s="410">
        <f>SUM(F14:F21)</f>
        <v>2683490</v>
      </c>
      <c r="G13" s="381">
        <f t="shared" si="1"/>
        <v>140166779.13227999</v>
      </c>
      <c r="H13" s="410">
        <f t="shared" ref="H13:I13" si="3">SUM(H14:H21)</f>
        <v>51539311.389999993</v>
      </c>
      <c r="I13" s="410">
        <f t="shared" si="3"/>
        <v>51539311.389999993</v>
      </c>
      <c r="J13" s="381">
        <f t="shared" si="2"/>
        <v>88627467.742280006</v>
      </c>
    </row>
    <row r="14" spans="2:10">
      <c r="B14" s="355"/>
      <c r="C14" s="411"/>
      <c r="D14" s="356" t="s">
        <v>895</v>
      </c>
      <c r="E14" s="412"/>
      <c r="F14" s="374"/>
      <c r="G14" s="374">
        <f t="shared" si="1"/>
        <v>0</v>
      </c>
      <c r="H14" s="374"/>
      <c r="I14" s="374"/>
      <c r="J14" s="374">
        <f t="shared" si="2"/>
        <v>0</v>
      </c>
    </row>
    <row r="15" spans="2:10">
      <c r="B15" s="355"/>
      <c r="C15" s="411"/>
      <c r="D15" s="356" t="s">
        <v>896</v>
      </c>
      <c r="E15" s="412"/>
      <c r="F15" s="374"/>
      <c r="G15" s="374">
        <f t="shared" si="1"/>
        <v>0</v>
      </c>
      <c r="H15" s="374"/>
      <c r="I15" s="374"/>
      <c r="J15" s="374">
        <f t="shared" si="2"/>
        <v>0</v>
      </c>
    </row>
    <row r="16" spans="2:10">
      <c r="B16" s="355"/>
      <c r="C16" s="411"/>
      <c r="D16" s="356" t="s">
        <v>897</v>
      </c>
      <c r="E16" s="412"/>
      <c r="F16" s="374"/>
      <c r="G16" s="374">
        <f t="shared" si="1"/>
        <v>0</v>
      </c>
      <c r="H16" s="374"/>
      <c r="I16" s="374"/>
      <c r="J16" s="374">
        <f t="shared" si="2"/>
        <v>0</v>
      </c>
    </row>
    <row r="17" spans="2:10">
      <c r="B17" s="355"/>
      <c r="C17" s="411"/>
      <c r="D17" s="356" t="s">
        <v>898</v>
      </c>
      <c r="E17" s="412">
        <f>+COG!D32-E30</f>
        <v>137483289.13227999</v>
      </c>
      <c r="F17" s="374">
        <f>+COG!E32-F30</f>
        <v>2683490</v>
      </c>
      <c r="G17" s="374">
        <f t="shared" si="1"/>
        <v>140166779.13227999</v>
      </c>
      <c r="H17" s="374">
        <f>+COG!G32-H30</f>
        <v>51539311.389999993</v>
      </c>
      <c r="I17" s="374">
        <f>+COG!H32-I30</f>
        <v>51539311.389999993</v>
      </c>
      <c r="J17" s="374">
        <f t="shared" si="2"/>
        <v>88627467.742280006</v>
      </c>
    </row>
    <row r="18" spans="2:10">
      <c r="B18" s="355"/>
      <c r="C18" s="411"/>
      <c r="D18" s="356" t="s">
        <v>899</v>
      </c>
      <c r="E18" s="412"/>
      <c r="F18" s="374"/>
      <c r="G18" s="374">
        <f t="shared" si="1"/>
        <v>0</v>
      </c>
      <c r="H18" s="374"/>
      <c r="I18" s="374"/>
      <c r="J18" s="374">
        <f t="shared" si="2"/>
        <v>0</v>
      </c>
    </row>
    <row r="19" spans="2:10">
      <c r="B19" s="355"/>
      <c r="C19" s="411"/>
      <c r="D19" s="356" t="s">
        <v>900</v>
      </c>
      <c r="E19" s="412"/>
      <c r="F19" s="374"/>
      <c r="G19" s="374">
        <f t="shared" si="1"/>
        <v>0</v>
      </c>
      <c r="H19" s="374"/>
      <c r="I19" s="374"/>
      <c r="J19" s="374">
        <f t="shared" si="2"/>
        <v>0</v>
      </c>
    </row>
    <row r="20" spans="2:10">
      <c r="B20" s="355"/>
      <c r="C20" s="411"/>
      <c r="D20" s="356" t="s">
        <v>901</v>
      </c>
      <c r="E20" s="412"/>
      <c r="F20" s="374"/>
      <c r="G20" s="374">
        <f t="shared" si="1"/>
        <v>0</v>
      </c>
      <c r="H20" s="374"/>
      <c r="I20" s="374"/>
      <c r="J20" s="374">
        <f t="shared" si="2"/>
        <v>0</v>
      </c>
    </row>
    <row r="21" spans="2:10">
      <c r="B21" s="355"/>
      <c r="C21" s="411"/>
      <c r="D21" s="356" t="s">
        <v>902</v>
      </c>
      <c r="E21" s="412"/>
      <c r="F21" s="374"/>
      <c r="G21" s="374">
        <f t="shared" si="1"/>
        <v>0</v>
      </c>
      <c r="H21" s="374"/>
      <c r="I21" s="374"/>
      <c r="J21" s="374">
        <f t="shared" si="2"/>
        <v>0</v>
      </c>
    </row>
    <row r="22" spans="2:10">
      <c r="B22" s="355"/>
      <c r="C22" s="1882" t="s">
        <v>903</v>
      </c>
      <c r="D22" s="1883"/>
      <c r="E22" s="410">
        <f>SUM(E23:E25)</f>
        <v>0</v>
      </c>
      <c r="F22" s="410">
        <f>SUM(F23:F25)</f>
        <v>0</v>
      </c>
      <c r="G22" s="381">
        <f t="shared" si="1"/>
        <v>0</v>
      </c>
      <c r="H22" s="410">
        <f t="shared" ref="H22:I22" si="4">SUM(H23:H25)</f>
        <v>0</v>
      </c>
      <c r="I22" s="410">
        <f t="shared" si="4"/>
        <v>0</v>
      </c>
      <c r="J22" s="381">
        <f t="shared" si="2"/>
        <v>0</v>
      </c>
    </row>
    <row r="23" spans="2:10">
      <c r="B23" s="355"/>
      <c r="C23" s="411"/>
      <c r="D23" s="356" t="s">
        <v>904</v>
      </c>
      <c r="E23" s="412"/>
      <c r="F23" s="374"/>
      <c r="G23" s="374">
        <f t="shared" si="1"/>
        <v>0</v>
      </c>
      <c r="H23" s="374"/>
      <c r="I23" s="374"/>
      <c r="J23" s="374">
        <f t="shared" si="2"/>
        <v>0</v>
      </c>
    </row>
    <row r="24" spans="2:10">
      <c r="B24" s="355"/>
      <c r="C24" s="411"/>
      <c r="D24" s="356" t="s">
        <v>905</v>
      </c>
      <c r="E24" s="412"/>
      <c r="F24" s="374"/>
      <c r="G24" s="374">
        <f t="shared" si="1"/>
        <v>0</v>
      </c>
      <c r="H24" s="374"/>
      <c r="I24" s="374"/>
      <c r="J24" s="374">
        <f t="shared" si="2"/>
        <v>0</v>
      </c>
    </row>
    <row r="25" spans="2:10">
      <c r="B25" s="355"/>
      <c r="C25" s="411"/>
      <c r="D25" s="356" t="s">
        <v>906</v>
      </c>
      <c r="E25" s="412"/>
      <c r="F25" s="374"/>
      <c r="G25" s="374">
        <f t="shared" si="1"/>
        <v>0</v>
      </c>
      <c r="H25" s="374"/>
      <c r="I25" s="374"/>
      <c r="J25" s="374">
        <f t="shared" si="2"/>
        <v>0</v>
      </c>
    </row>
    <row r="26" spans="2:10">
      <c r="B26" s="355"/>
      <c r="C26" s="1882" t="s">
        <v>907</v>
      </c>
      <c r="D26" s="1883"/>
      <c r="E26" s="410">
        <f>SUM(E27:E28)</f>
        <v>0</v>
      </c>
      <c r="F26" s="410">
        <f>SUM(F27:F28)</f>
        <v>0</v>
      </c>
      <c r="G26" s="381">
        <f t="shared" si="1"/>
        <v>0</v>
      </c>
      <c r="H26" s="410">
        <f t="shared" ref="H26:I26" si="5">SUM(H27:H28)</f>
        <v>0</v>
      </c>
      <c r="I26" s="410">
        <f t="shared" si="5"/>
        <v>0</v>
      </c>
      <c r="J26" s="381">
        <f t="shared" si="2"/>
        <v>0</v>
      </c>
    </row>
    <row r="27" spans="2:10">
      <c r="B27" s="355"/>
      <c r="C27" s="411"/>
      <c r="D27" s="356" t="s">
        <v>908</v>
      </c>
      <c r="E27" s="412"/>
      <c r="F27" s="374"/>
      <c r="G27" s="374">
        <f t="shared" si="1"/>
        <v>0</v>
      </c>
      <c r="H27" s="374"/>
      <c r="I27" s="374"/>
      <c r="J27" s="374">
        <f t="shared" si="2"/>
        <v>0</v>
      </c>
    </row>
    <row r="28" spans="2:10">
      <c r="B28" s="355"/>
      <c r="C28" s="411"/>
      <c r="D28" s="356" t="s">
        <v>909</v>
      </c>
      <c r="E28" s="412"/>
      <c r="F28" s="374"/>
      <c r="G28" s="374">
        <f t="shared" si="1"/>
        <v>0</v>
      </c>
      <c r="H28" s="374"/>
      <c r="I28" s="374"/>
      <c r="J28" s="374">
        <f t="shared" si="2"/>
        <v>0</v>
      </c>
    </row>
    <row r="29" spans="2:10">
      <c r="B29" s="355"/>
      <c r="C29" s="1882" t="s">
        <v>910</v>
      </c>
      <c r="D29" s="1883"/>
      <c r="E29" s="410">
        <f>SUM(E30:E33)</f>
        <v>776994.28421700012</v>
      </c>
      <c r="F29" s="410">
        <f>SUM(F30:F33)</f>
        <v>0</v>
      </c>
      <c r="G29" s="381">
        <f t="shared" si="1"/>
        <v>776994.28421700012</v>
      </c>
      <c r="H29" s="410">
        <f t="shared" ref="H29:I29" si="6">SUM(H30:H33)</f>
        <v>644663.06000000006</v>
      </c>
      <c r="I29" s="410">
        <f t="shared" si="6"/>
        <v>644663.06000000006</v>
      </c>
      <c r="J29" s="381">
        <f t="shared" si="2"/>
        <v>132331.22421700007</v>
      </c>
    </row>
    <row r="30" spans="2:10">
      <c r="B30" s="355"/>
      <c r="C30" s="411"/>
      <c r="D30" s="356" t="s">
        <v>911</v>
      </c>
      <c r="E30" s="412">
        <f>COG!D31</f>
        <v>776994.28421700012</v>
      </c>
      <c r="F30" s="412">
        <f>COG!E31</f>
        <v>0</v>
      </c>
      <c r="G30" s="374">
        <f t="shared" si="1"/>
        <v>776994.28421700012</v>
      </c>
      <c r="H30" s="374">
        <f>COG!G31</f>
        <v>644663.06000000006</v>
      </c>
      <c r="I30" s="374">
        <f>COG!H31</f>
        <v>644663.06000000006</v>
      </c>
      <c r="J30" s="374">
        <f t="shared" si="2"/>
        <v>132331.22421700007</v>
      </c>
    </row>
    <row r="31" spans="2:10">
      <c r="B31" s="355"/>
      <c r="C31" s="411"/>
      <c r="D31" s="356" t="s">
        <v>912</v>
      </c>
      <c r="E31" s="412"/>
      <c r="F31" s="374"/>
      <c r="G31" s="374">
        <f t="shared" si="1"/>
        <v>0</v>
      </c>
      <c r="H31" s="374"/>
      <c r="I31" s="374"/>
      <c r="J31" s="374">
        <f t="shared" si="2"/>
        <v>0</v>
      </c>
    </row>
    <row r="32" spans="2:10">
      <c r="B32" s="355"/>
      <c r="C32" s="411"/>
      <c r="D32" s="356" t="s">
        <v>913</v>
      </c>
      <c r="E32" s="412"/>
      <c r="F32" s="374"/>
      <c r="G32" s="374">
        <f t="shared" si="1"/>
        <v>0</v>
      </c>
      <c r="H32" s="374"/>
      <c r="I32" s="374"/>
      <c r="J32" s="374">
        <f t="shared" si="2"/>
        <v>0</v>
      </c>
    </row>
    <row r="33" spans="1:11">
      <c r="B33" s="355"/>
      <c r="C33" s="411"/>
      <c r="D33" s="356" t="s">
        <v>914</v>
      </c>
      <c r="E33" s="412"/>
      <c r="F33" s="374"/>
      <c r="G33" s="374">
        <f t="shared" si="1"/>
        <v>0</v>
      </c>
      <c r="H33" s="374"/>
      <c r="I33" s="374"/>
      <c r="J33" s="374">
        <f t="shared" si="2"/>
        <v>0</v>
      </c>
    </row>
    <row r="34" spans="1:11">
      <c r="B34" s="355"/>
      <c r="C34" s="1882" t="s">
        <v>915</v>
      </c>
      <c r="D34" s="1883"/>
      <c r="E34" s="410">
        <f>SUM(E35)</f>
        <v>0</v>
      </c>
      <c r="F34" s="410">
        <f>SUM(F35)</f>
        <v>0</v>
      </c>
      <c r="G34" s="381">
        <f t="shared" si="1"/>
        <v>0</v>
      </c>
      <c r="H34" s="410">
        <f t="shared" ref="H34:I34" si="7">SUM(H35)</f>
        <v>0</v>
      </c>
      <c r="I34" s="410">
        <f t="shared" si="7"/>
        <v>0</v>
      </c>
      <c r="J34" s="381">
        <f t="shared" si="2"/>
        <v>0</v>
      </c>
    </row>
    <row r="35" spans="1:11">
      <c r="B35" s="355"/>
      <c r="C35" s="411"/>
      <c r="D35" s="356" t="s">
        <v>916</v>
      </c>
      <c r="E35" s="412"/>
      <c r="F35" s="374"/>
      <c r="G35" s="374">
        <f t="shared" si="1"/>
        <v>0</v>
      </c>
      <c r="H35" s="374"/>
      <c r="I35" s="374"/>
      <c r="J35" s="374">
        <f t="shared" si="2"/>
        <v>0</v>
      </c>
    </row>
    <row r="36" spans="1:11" ht="15" customHeight="1">
      <c r="B36" s="1887" t="s">
        <v>917</v>
      </c>
      <c r="C36" s="1888"/>
      <c r="D36" s="1889"/>
      <c r="E36" s="412"/>
      <c r="F36" s="374"/>
      <c r="G36" s="374">
        <f t="shared" si="1"/>
        <v>0</v>
      </c>
      <c r="H36" s="374"/>
      <c r="I36" s="374"/>
      <c r="J36" s="374">
        <f t="shared" si="2"/>
        <v>0</v>
      </c>
    </row>
    <row r="37" spans="1:11" ht="15" customHeight="1">
      <c r="B37" s="1887" t="s">
        <v>918</v>
      </c>
      <c r="C37" s="1888"/>
      <c r="D37" s="1889"/>
      <c r="E37" s="412"/>
      <c r="F37" s="374"/>
      <c r="G37" s="374">
        <f t="shared" si="1"/>
        <v>0</v>
      </c>
      <c r="H37" s="374"/>
      <c r="I37" s="374"/>
      <c r="J37" s="374">
        <f t="shared" si="2"/>
        <v>0</v>
      </c>
    </row>
    <row r="38" spans="1:11" ht="15.75" customHeight="1">
      <c r="B38" s="1887" t="s">
        <v>919</v>
      </c>
      <c r="C38" s="1888"/>
      <c r="D38" s="1889"/>
      <c r="E38" s="412"/>
      <c r="F38" s="374"/>
      <c r="G38" s="374">
        <f t="shared" si="1"/>
        <v>0</v>
      </c>
      <c r="H38" s="374"/>
      <c r="I38" s="374"/>
      <c r="J38" s="374">
        <f t="shared" si="2"/>
        <v>0</v>
      </c>
    </row>
    <row r="39" spans="1:11">
      <c r="B39" s="413"/>
      <c r="C39" s="414"/>
      <c r="D39" s="415"/>
      <c r="E39" s="416"/>
      <c r="F39" s="417"/>
      <c r="G39" s="417"/>
      <c r="H39" s="417"/>
      <c r="I39" s="417"/>
      <c r="J39" s="417"/>
    </row>
    <row r="40" spans="1:11" s="369" customFormat="1">
      <c r="A40" s="365"/>
      <c r="B40" s="384"/>
      <c r="C40" s="1890" t="s">
        <v>822</v>
      </c>
      <c r="D40" s="1891"/>
      <c r="E40" s="379">
        <f>+E10+E13+E22+E26+E29+E34+E36+E37+E38</f>
        <v>138260283.41649699</v>
      </c>
      <c r="F40" s="379">
        <f t="shared" ref="F40:J40" si="8">+F10+F13+F22+F26+F29+F34+F36+F37+F38</f>
        <v>2683490</v>
      </c>
      <c r="G40" s="379">
        <f t="shared" si="8"/>
        <v>140943773.41649699</v>
      </c>
      <c r="H40" s="379">
        <f t="shared" si="8"/>
        <v>52183974.449999996</v>
      </c>
      <c r="I40" s="379">
        <f t="shared" si="8"/>
        <v>52183974.449999996</v>
      </c>
      <c r="J40" s="379">
        <f t="shared" si="8"/>
        <v>88759798.966497004</v>
      </c>
      <c r="K40" s="365"/>
    </row>
    <row r="41" spans="1:11">
      <c r="B41" s="317"/>
      <c r="C41" s="317"/>
      <c r="D41" s="317"/>
      <c r="E41" s="317"/>
      <c r="F41" s="317"/>
      <c r="G41" s="317"/>
      <c r="H41" s="317"/>
      <c r="I41" s="317"/>
      <c r="J41" s="317"/>
    </row>
    <row r="42" spans="1:11">
      <c r="B42" s="317"/>
      <c r="C42" s="317"/>
      <c r="D42" s="317"/>
      <c r="E42" s="317"/>
      <c r="F42" s="317"/>
      <c r="G42" s="317"/>
      <c r="H42" s="317"/>
      <c r="I42" s="317"/>
      <c r="J42" s="317"/>
    </row>
  </sheetData>
  <mergeCells count="17">
    <mergeCell ref="C34:D34"/>
    <mergeCell ref="B36:D36"/>
    <mergeCell ref="B37:D37"/>
    <mergeCell ref="B38:D38"/>
    <mergeCell ref="C40:D40"/>
    <mergeCell ref="C29:D29"/>
    <mergeCell ref="B2:J2"/>
    <mergeCell ref="B3:J3"/>
    <mergeCell ref="B4:J4"/>
    <mergeCell ref="B6:D8"/>
    <mergeCell ref="E6:I6"/>
    <mergeCell ref="J6:J7"/>
    <mergeCell ref="B9:D9"/>
    <mergeCell ref="C10:D10"/>
    <mergeCell ref="C13:D13"/>
    <mergeCell ref="C22:D22"/>
    <mergeCell ref="C26:D26"/>
  </mergeCells>
  <pageMargins left="0.7" right="0.7" top="0.75" bottom="0.75" header="0.3" footer="0.3"/>
  <pageSetup scale="8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7D3D-ED4D-44C1-8306-6A544B17FB7B}">
  <dimension ref="B1:H39"/>
  <sheetViews>
    <sheetView topLeftCell="A25" workbookViewId="0">
      <selection activeCell="F29" sqref="F29:G29"/>
    </sheetView>
  </sheetViews>
  <sheetFormatPr baseColWidth="10" defaultColWidth="11.42578125" defaultRowHeight="12"/>
  <cols>
    <col min="1" max="1" width="11.42578125" style="1061"/>
    <col min="2" max="2" width="47.42578125" style="1061" customWidth="1"/>
    <col min="3" max="3" width="13.28515625" style="1061" bestFit="1" customWidth="1"/>
    <col min="4" max="5" width="14" style="1061" customWidth="1"/>
    <col min="6" max="7" width="12.28515625" style="1061" bestFit="1" customWidth="1"/>
    <col min="8" max="8" width="13.28515625" style="1061" customWidth="1"/>
    <col min="9" max="16384" width="11.42578125" style="1061"/>
  </cols>
  <sheetData>
    <row r="1" spans="2:8" ht="15" customHeight="1" thickBot="1"/>
    <row r="2" spans="2:8" ht="15" customHeight="1">
      <c r="B2" s="1892" t="s">
        <v>2987</v>
      </c>
      <c r="C2" s="1893"/>
      <c r="D2" s="1893"/>
      <c r="E2" s="1893"/>
      <c r="F2" s="1893"/>
      <c r="G2" s="1893"/>
      <c r="H2" s="1894"/>
    </row>
    <row r="3" spans="2:8" ht="15" customHeight="1">
      <c r="B3" s="1895" t="s">
        <v>889</v>
      </c>
      <c r="C3" s="1896"/>
      <c r="D3" s="1896"/>
      <c r="E3" s="1896"/>
      <c r="F3" s="1896"/>
      <c r="G3" s="1896"/>
      <c r="H3" s="1897"/>
    </row>
    <row r="4" spans="2:8" ht="15" customHeight="1" thickBot="1">
      <c r="B4" s="1898"/>
      <c r="C4" s="1899"/>
      <c r="D4" s="1899"/>
      <c r="E4" s="1899"/>
      <c r="F4" s="1899"/>
      <c r="G4" s="1899"/>
      <c r="H4" s="1900"/>
    </row>
    <row r="5" spans="2:8" ht="15" customHeight="1" thickBot="1">
      <c r="B5" s="1901" t="s">
        <v>230</v>
      </c>
      <c r="C5" s="1904" t="s">
        <v>824</v>
      </c>
      <c r="D5" s="1905"/>
      <c r="E5" s="1905"/>
      <c r="F5" s="1905"/>
      <c r="G5" s="1906"/>
      <c r="H5" s="1901" t="s">
        <v>816</v>
      </c>
    </row>
    <row r="6" spans="2:8" ht="28.5" customHeight="1" thickBot="1">
      <c r="B6" s="1902"/>
      <c r="C6" s="1186" t="s">
        <v>817</v>
      </c>
      <c r="D6" s="1063" t="s">
        <v>818</v>
      </c>
      <c r="E6" s="1186" t="s">
        <v>793</v>
      </c>
      <c r="F6" s="1187" t="s">
        <v>236</v>
      </c>
      <c r="G6" s="1187" t="s">
        <v>819</v>
      </c>
      <c r="H6" s="1903"/>
    </row>
    <row r="7" spans="2:8" ht="15" customHeight="1" thickBot="1">
      <c r="B7" s="1903"/>
      <c r="C7" s="1186">
        <v>1</v>
      </c>
      <c r="D7" s="1186">
        <v>2</v>
      </c>
      <c r="E7" s="1186" t="s">
        <v>820</v>
      </c>
      <c r="F7" s="1186">
        <v>4</v>
      </c>
      <c r="G7" s="1186">
        <v>5</v>
      </c>
      <c r="H7" s="1186" t="s">
        <v>821</v>
      </c>
    </row>
    <row r="8" spans="2:8" ht="15" customHeight="1">
      <c r="B8" s="1188" t="s">
        <v>890</v>
      </c>
      <c r="C8" s="1189"/>
      <c r="D8" s="1190"/>
      <c r="E8" s="1189"/>
      <c r="F8" s="1190"/>
      <c r="G8" s="1189"/>
      <c r="H8" s="1191"/>
    </row>
    <row r="9" spans="2:8" s="1195" customFormat="1" ht="30" customHeight="1">
      <c r="B9" s="1192" t="s">
        <v>891</v>
      </c>
      <c r="C9" s="1193">
        <f>SUM(C10:C11)</f>
        <v>0</v>
      </c>
      <c r="D9" s="1194">
        <f>SUM(D10:D11)</f>
        <v>0</v>
      </c>
      <c r="E9" s="1193">
        <f>C9+D9</f>
        <v>0</v>
      </c>
      <c r="F9" s="1194">
        <f>SUM(F10:F11)</f>
        <v>0</v>
      </c>
      <c r="G9" s="1193">
        <f>SUM(G10:G11)</f>
        <v>0</v>
      </c>
      <c r="H9" s="1191">
        <f>E9-F9</f>
        <v>0</v>
      </c>
    </row>
    <row r="10" spans="2:8" ht="15" customHeight="1">
      <c r="B10" s="1109" t="s">
        <v>892</v>
      </c>
      <c r="C10" s="1070">
        <v>0</v>
      </c>
      <c r="D10" s="1071">
        <v>0</v>
      </c>
      <c r="E10" s="1072">
        <f t="shared" ref="E10:E39" si="0">C10+D10</f>
        <v>0</v>
      </c>
      <c r="F10" s="1071">
        <v>0</v>
      </c>
      <c r="G10" s="1070">
        <v>0</v>
      </c>
      <c r="H10" s="1073">
        <f t="shared" ref="H10:H39" si="1">E10-F10</f>
        <v>0</v>
      </c>
    </row>
    <row r="11" spans="2:8" ht="15" customHeight="1">
      <c r="B11" s="1109" t="s">
        <v>893</v>
      </c>
      <c r="C11" s="1070">
        <v>0</v>
      </c>
      <c r="D11" s="1071">
        <v>0</v>
      </c>
      <c r="E11" s="1072">
        <f t="shared" si="0"/>
        <v>0</v>
      </c>
      <c r="F11" s="1071">
        <v>0</v>
      </c>
      <c r="G11" s="1070">
        <v>0</v>
      </c>
      <c r="H11" s="1073">
        <f t="shared" si="1"/>
        <v>0</v>
      </c>
    </row>
    <row r="12" spans="2:8" s="1195" customFormat="1" ht="15" customHeight="1">
      <c r="B12" s="1192" t="s">
        <v>894</v>
      </c>
      <c r="C12" s="1193">
        <f>SUM(C13:C20)</f>
        <v>137483289.13227999</v>
      </c>
      <c r="D12" s="1194">
        <f>SUM(D13:D20)</f>
        <v>2683490</v>
      </c>
      <c r="E12" s="1193">
        <f t="shared" si="0"/>
        <v>140166779.13227999</v>
      </c>
      <c r="F12" s="1194">
        <f>SUM(F13:F20)</f>
        <v>51539311.389999993</v>
      </c>
      <c r="G12" s="1193">
        <f>SUM(G13:G20)</f>
        <v>51539311.389999993</v>
      </c>
      <c r="H12" s="1191">
        <f t="shared" si="1"/>
        <v>88627467.742280006</v>
      </c>
    </row>
    <row r="13" spans="2:8" ht="15" customHeight="1">
      <c r="B13" s="1109" t="s">
        <v>895</v>
      </c>
      <c r="C13" s="1070">
        <v>0</v>
      </c>
      <c r="D13" s="1071">
        <v>0</v>
      </c>
      <c r="E13" s="1072">
        <f t="shared" si="0"/>
        <v>0</v>
      </c>
      <c r="F13" s="1071">
        <v>0</v>
      </c>
      <c r="G13" s="1070">
        <v>0</v>
      </c>
      <c r="H13" s="1073">
        <f t="shared" si="1"/>
        <v>0</v>
      </c>
    </row>
    <row r="14" spans="2:8" ht="15" customHeight="1">
      <c r="B14" s="1109" t="s">
        <v>896</v>
      </c>
      <c r="C14" s="1070">
        <v>0</v>
      </c>
      <c r="D14" s="1071">
        <v>0</v>
      </c>
      <c r="E14" s="1072">
        <f t="shared" si="0"/>
        <v>0</v>
      </c>
      <c r="F14" s="1071">
        <v>0</v>
      </c>
      <c r="G14" s="1070">
        <v>0</v>
      </c>
      <c r="H14" s="1073">
        <f t="shared" si="1"/>
        <v>0</v>
      </c>
    </row>
    <row r="15" spans="2:8" ht="30" customHeight="1">
      <c r="B15" s="1109" t="s">
        <v>897</v>
      </c>
      <c r="C15" s="1070">
        <v>0</v>
      </c>
      <c r="D15" s="1071">
        <v>0</v>
      </c>
      <c r="E15" s="1072">
        <f t="shared" si="0"/>
        <v>0</v>
      </c>
      <c r="F15" s="1071">
        <v>0</v>
      </c>
      <c r="G15" s="1070">
        <v>0</v>
      </c>
      <c r="H15" s="1073">
        <f t="shared" si="1"/>
        <v>0</v>
      </c>
    </row>
    <row r="16" spans="2:8" ht="15" customHeight="1">
      <c r="B16" s="1109" t="s">
        <v>898</v>
      </c>
      <c r="C16" s="1070">
        <f>+CProg!E17</f>
        <v>137483289.13227999</v>
      </c>
      <c r="D16" s="1071">
        <f>+CProg!F17</f>
        <v>2683490</v>
      </c>
      <c r="E16" s="1072">
        <f t="shared" si="0"/>
        <v>140166779.13227999</v>
      </c>
      <c r="F16" s="1071">
        <f>+CProg!H17</f>
        <v>51539311.389999993</v>
      </c>
      <c r="G16" s="1070">
        <f>+CProg!I17</f>
        <v>51539311.389999993</v>
      </c>
      <c r="H16" s="1073">
        <f t="shared" si="1"/>
        <v>88627467.742280006</v>
      </c>
    </row>
    <row r="17" spans="2:8" ht="15" customHeight="1">
      <c r="B17" s="1109" t="s">
        <v>899</v>
      </c>
      <c r="C17" s="1070">
        <v>0</v>
      </c>
      <c r="D17" s="1071">
        <v>0</v>
      </c>
      <c r="E17" s="1072">
        <f t="shared" si="0"/>
        <v>0</v>
      </c>
      <c r="F17" s="1071">
        <v>0</v>
      </c>
      <c r="G17" s="1070">
        <v>0</v>
      </c>
      <c r="H17" s="1073">
        <f t="shared" si="1"/>
        <v>0</v>
      </c>
    </row>
    <row r="18" spans="2:8" ht="30" customHeight="1">
      <c r="B18" s="1109" t="s">
        <v>900</v>
      </c>
      <c r="C18" s="1070">
        <v>0</v>
      </c>
      <c r="D18" s="1071">
        <v>0</v>
      </c>
      <c r="E18" s="1072">
        <f t="shared" si="0"/>
        <v>0</v>
      </c>
      <c r="F18" s="1071">
        <v>0</v>
      </c>
      <c r="G18" s="1070">
        <v>0</v>
      </c>
      <c r="H18" s="1073">
        <f t="shared" si="1"/>
        <v>0</v>
      </c>
    </row>
    <row r="19" spans="2:8" ht="15" customHeight="1">
      <c r="B19" s="1109" t="s">
        <v>901</v>
      </c>
      <c r="C19" s="1070">
        <v>0</v>
      </c>
      <c r="D19" s="1071">
        <v>0</v>
      </c>
      <c r="E19" s="1072">
        <f t="shared" si="0"/>
        <v>0</v>
      </c>
      <c r="F19" s="1071">
        <v>0</v>
      </c>
      <c r="G19" s="1070">
        <v>0</v>
      </c>
      <c r="H19" s="1073">
        <f t="shared" si="1"/>
        <v>0</v>
      </c>
    </row>
    <row r="20" spans="2:8" ht="15" customHeight="1">
      <c r="B20" s="1109" t="s">
        <v>902</v>
      </c>
      <c r="C20" s="1070">
        <v>0</v>
      </c>
      <c r="D20" s="1071">
        <v>0</v>
      </c>
      <c r="E20" s="1072">
        <f t="shared" si="0"/>
        <v>0</v>
      </c>
      <c r="F20" s="1071">
        <v>0</v>
      </c>
      <c r="G20" s="1070">
        <v>0</v>
      </c>
      <c r="H20" s="1073">
        <f t="shared" si="1"/>
        <v>0</v>
      </c>
    </row>
    <row r="21" spans="2:8" s="1195" customFormat="1" ht="15" customHeight="1">
      <c r="B21" s="1192" t="s">
        <v>903</v>
      </c>
      <c r="C21" s="1193">
        <f>SUM(C22:C24)</f>
        <v>0</v>
      </c>
      <c r="D21" s="1194">
        <f>SUM(D22:D24)</f>
        <v>0</v>
      </c>
      <c r="E21" s="1193">
        <f t="shared" si="0"/>
        <v>0</v>
      </c>
      <c r="F21" s="1194">
        <f>SUM(F22:F24)</f>
        <v>0</v>
      </c>
      <c r="G21" s="1193">
        <f>SUM(G22:G24)</f>
        <v>0</v>
      </c>
      <c r="H21" s="1191">
        <f t="shared" si="1"/>
        <v>0</v>
      </c>
    </row>
    <row r="22" spans="2:8" ht="30" customHeight="1">
      <c r="B22" s="1109" t="s">
        <v>904</v>
      </c>
      <c r="C22" s="1070">
        <v>0</v>
      </c>
      <c r="D22" s="1071">
        <v>0</v>
      </c>
      <c r="E22" s="1072">
        <f t="shared" si="0"/>
        <v>0</v>
      </c>
      <c r="F22" s="1071">
        <v>0</v>
      </c>
      <c r="G22" s="1070">
        <v>0</v>
      </c>
      <c r="H22" s="1073">
        <f t="shared" si="1"/>
        <v>0</v>
      </c>
    </row>
    <row r="23" spans="2:8" ht="30" customHeight="1">
      <c r="B23" s="1109" t="s">
        <v>905</v>
      </c>
      <c r="C23" s="1070">
        <v>0</v>
      </c>
      <c r="D23" s="1071">
        <v>0</v>
      </c>
      <c r="E23" s="1072">
        <f t="shared" si="0"/>
        <v>0</v>
      </c>
      <c r="F23" s="1071">
        <v>0</v>
      </c>
      <c r="G23" s="1070">
        <v>0</v>
      </c>
      <c r="H23" s="1073">
        <f t="shared" si="1"/>
        <v>0</v>
      </c>
    </row>
    <row r="24" spans="2:8" ht="15" customHeight="1">
      <c r="B24" s="1109" t="s">
        <v>906</v>
      </c>
      <c r="C24" s="1070">
        <v>0</v>
      </c>
      <c r="D24" s="1071">
        <v>0</v>
      </c>
      <c r="E24" s="1072">
        <f t="shared" si="0"/>
        <v>0</v>
      </c>
      <c r="F24" s="1071">
        <v>0</v>
      </c>
      <c r="G24" s="1070">
        <v>0</v>
      </c>
      <c r="H24" s="1073">
        <f t="shared" si="1"/>
        <v>0</v>
      </c>
    </row>
    <row r="25" spans="2:8" s="1195" customFormat="1" ht="15" customHeight="1">
      <c r="B25" s="1192" t="s">
        <v>907</v>
      </c>
      <c r="C25" s="1193">
        <f>SUM(C26:C27)</f>
        <v>0</v>
      </c>
      <c r="D25" s="1194">
        <f>SUM(D26:D27)</f>
        <v>0</v>
      </c>
      <c r="E25" s="1193">
        <f t="shared" si="0"/>
        <v>0</v>
      </c>
      <c r="F25" s="1194">
        <f>SUM(F26:F27)</f>
        <v>0</v>
      </c>
      <c r="G25" s="1193">
        <f>SUM(G26:G27)</f>
        <v>0</v>
      </c>
      <c r="H25" s="1191">
        <f t="shared" si="1"/>
        <v>0</v>
      </c>
    </row>
    <row r="26" spans="2:8" ht="30" customHeight="1">
      <c r="B26" s="1109" t="s">
        <v>908</v>
      </c>
      <c r="C26" s="1070">
        <v>0</v>
      </c>
      <c r="D26" s="1071">
        <v>0</v>
      </c>
      <c r="E26" s="1072">
        <f t="shared" si="0"/>
        <v>0</v>
      </c>
      <c r="F26" s="1071">
        <v>0</v>
      </c>
      <c r="G26" s="1070">
        <v>0</v>
      </c>
      <c r="H26" s="1073">
        <f t="shared" si="1"/>
        <v>0</v>
      </c>
    </row>
    <row r="27" spans="2:8" ht="15" customHeight="1">
      <c r="B27" s="1109" t="s">
        <v>909</v>
      </c>
      <c r="C27" s="1070">
        <v>0</v>
      </c>
      <c r="D27" s="1071">
        <v>0</v>
      </c>
      <c r="E27" s="1072">
        <f t="shared" si="0"/>
        <v>0</v>
      </c>
      <c r="F27" s="1071">
        <v>0</v>
      </c>
      <c r="G27" s="1070">
        <v>0</v>
      </c>
      <c r="H27" s="1073">
        <f t="shared" si="1"/>
        <v>0</v>
      </c>
    </row>
    <row r="28" spans="2:8" s="1195" customFormat="1" ht="15" customHeight="1">
      <c r="B28" s="1192" t="s">
        <v>910</v>
      </c>
      <c r="C28" s="1193">
        <f>SUM(C29:C32)</f>
        <v>776994.28421700012</v>
      </c>
      <c r="D28" s="1194">
        <f>SUM(D29:D32)</f>
        <v>0</v>
      </c>
      <c r="E28" s="1193">
        <f t="shared" si="0"/>
        <v>776994.28421700012</v>
      </c>
      <c r="F28" s="1194">
        <f>SUM(F29:F32)</f>
        <v>644663.06000000006</v>
      </c>
      <c r="G28" s="1193">
        <f>SUM(G29:G32)</f>
        <v>644663.06000000006</v>
      </c>
      <c r="H28" s="1191">
        <f t="shared" si="1"/>
        <v>132331.22421700007</v>
      </c>
    </row>
    <row r="29" spans="2:8" ht="15" customHeight="1">
      <c r="B29" s="1109" t="s">
        <v>911</v>
      </c>
      <c r="C29" s="1070">
        <f>+COG!D31</f>
        <v>776994.28421700012</v>
      </c>
      <c r="D29" s="1071">
        <f>+COG!E31</f>
        <v>0</v>
      </c>
      <c r="E29" s="1072">
        <f t="shared" si="0"/>
        <v>776994.28421700012</v>
      </c>
      <c r="F29" s="1071">
        <f>+COG!G31</f>
        <v>644663.06000000006</v>
      </c>
      <c r="G29" s="1070">
        <f>+COG!H31</f>
        <v>644663.06000000006</v>
      </c>
      <c r="H29" s="1073">
        <f t="shared" si="1"/>
        <v>132331.22421700007</v>
      </c>
    </row>
    <row r="30" spans="2:8" ht="15" customHeight="1">
      <c r="B30" s="1109" t="s">
        <v>912</v>
      </c>
      <c r="C30" s="1070">
        <v>0</v>
      </c>
      <c r="D30" s="1071">
        <v>0</v>
      </c>
      <c r="E30" s="1072">
        <f t="shared" si="0"/>
        <v>0</v>
      </c>
      <c r="F30" s="1071">
        <v>0</v>
      </c>
      <c r="G30" s="1070">
        <v>0</v>
      </c>
      <c r="H30" s="1073">
        <f t="shared" si="1"/>
        <v>0</v>
      </c>
    </row>
    <row r="31" spans="2:8" ht="15" customHeight="1">
      <c r="B31" s="1109" t="s">
        <v>913</v>
      </c>
      <c r="C31" s="1070">
        <v>0</v>
      </c>
      <c r="D31" s="1071">
        <v>0</v>
      </c>
      <c r="E31" s="1072">
        <f t="shared" si="0"/>
        <v>0</v>
      </c>
      <c r="F31" s="1071">
        <v>0</v>
      </c>
      <c r="G31" s="1070">
        <v>0</v>
      </c>
      <c r="H31" s="1073">
        <f t="shared" si="1"/>
        <v>0</v>
      </c>
    </row>
    <row r="32" spans="2:8" ht="30" customHeight="1">
      <c r="B32" s="1109" t="s">
        <v>914</v>
      </c>
      <c r="C32" s="1070">
        <v>0</v>
      </c>
      <c r="D32" s="1071">
        <v>0</v>
      </c>
      <c r="E32" s="1072">
        <f t="shared" si="0"/>
        <v>0</v>
      </c>
      <c r="F32" s="1071">
        <v>0</v>
      </c>
      <c r="G32" s="1070">
        <v>0</v>
      </c>
      <c r="H32" s="1073">
        <f t="shared" si="1"/>
        <v>0</v>
      </c>
    </row>
    <row r="33" spans="2:8" s="1195" customFormat="1" ht="27.6" customHeight="1">
      <c r="B33" s="1192" t="s">
        <v>915</v>
      </c>
      <c r="C33" s="1193">
        <f>SUM(C34)</f>
        <v>0</v>
      </c>
      <c r="D33" s="1194">
        <f>SUM(D34)</f>
        <v>0</v>
      </c>
      <c r="E33" s="1193">
        <f t="shared" si="0"/>
        <v>0</v>
      </c>
      <c r="F33" s="1194">
        <f>SUM(F34)</f>
        <v>0</v>
      </c>
      <c r="G33" s="1193">
        <f>SUM(G34)</f>
        <v>0</v>
      </c>
      <c r="H33" s="1191">
        <f t="shared" si="1"/>
        <v>0</v>
      </c>
    </row>
    <row r="34" spans="2:8" ht="15" customHeight="1">
      <c r="B34" s="1109" t="s">
        <v>916</v>
      </c>
      <c r="C34" s="1070">
        <v>0</v>
      </c>
      <c r="D34" s="1071">
        <v>0</v>
      </c>
      <c r="E34" s="1072">
        <f t="shared" si="0"/>
        <v>0</v>
      </c>
      <c r="F34" s="1071">
        <v>0</v>
      </c>
      <c r="G34" s="1070">
        <v>0</v>
      </c>
      <c r="H34" s="1073">
        <f t="shared" si="1"/>
        <v>0</v>
      </c>
    </row>
    <row r="35" spans="2:8" s="1195" customFormat="1" ht="15" customHeight="1">
      <c r="B35" s="1090" t="s">
        <v>917</v>
      </c>
      <c r="C35" s="1196">
        <v>0</v>
      </c>
      <c r="D35" s="1197">
        <v>0</v>
      </c>
      <c r="E35" s="1193">
        <f t="shared" si="0"/>
        <v>0</v>
      </c>
      <c r="F35" s="1197">
        <v>0</v>
      </c>
      <c r="G35" s="1196">
        <v>0</v>
      </c>
      <c r="H35" s="1191">
        <f t="shared" si="1"/>
        <v>0</v>
      </c>
    </row>
    <row r="36" spans="2:8" s="1195" customFormat="1" ht="30" customHeight="1">
      <c r="B36" s="1090" t="s">
        <v>918</v>
      </c>
      <c r="C36" s="1196">
        <v>0</v>
      </c>
      <c r="D36" s="1197">
        <v>0</v>
      </c>
      <c r="E36" s="1193">
        <f t="shared" si="0"/>
        <v>0</v>
      </c>
      <c r="F36" s="1197">
        <v>0</v>
      </c>
      <c r="G36" s="1196">
        <v>0</v>
      </c>
      <c r="H36" s="1191">
        <f t="shared" si="1"/>
        <v>0</v>
      </c>
    </row>
    <row r="37" spans="2:8" s="1195" customFormat="1" ht="15" customHeight="1">
      <c r="B37" s="1090" t="s">
        <v>919</v>
      </c>
      <c r="C37" s="1196">
        <v>0</v>
      </c>
      <c r="D37" s="1197">
        <v>0</v>
      </c>
      <c r="E37" s="1193">
        <f t="shared" si="0"/>
        <v>0</v>
      </c>
      <c r="F37" s="1197">
        <v>0</v>
      </c>
      <c r="G37" s="1196">
        <v>0</v>
      </c>
      <c r="H37" s="1191">
        <f t="shared" si="1"/>
        <v>0</v>
      </c>
    </row>
    <row r="38" spans="2:8" ht="15" customHeight="1" thickBot="1">
      <c r="B38" s="1198"/>
      <c r="C38" s="1072"/>
      <c r="D38" s="1075"/>
      <c r="E38" s="1072"/>
      <c r="F38" s="1075"/>
      <c r="G38" s="1072"/>
      <c r="H38" s="1073"/>
    </row>
    <row r="39" spans="2:8" s="1195" customFormat="1" ht="15" customHeight="1" thickBot="1">
      <c r="B39" s="1076" t="s">
        <v>4800</v>
      </c>
      <c r="C39" s="1077">
        <f>SUM(C37,C36,C35,C33,C28,C25,C21,C12,C9)</f>
        <v>138260283.41649699</v>
      </c>
      <c r="D39" s="1078">
        <f>SUM(D37,D36,D35,D33,D28,D25,D9,D12,D21)</f>
        <v>2683490</v>
      </c>
      <c r="E39" s="1077">
        <f t="shared" si="0"/>
        <v>140943773.41649699</v>
      </c>
      <c r="F39" s="1078">
        <f>SUM(F37,F36,F35,F33,F28,F25,F21,F12,F9)</f>
        <v>52183974.449999996</v>
      </c>
      <c r="G39" s="1077">
        <f>SUM(G37,G36,G35,G33,G28,G25,G21,G12,G9)</f>
        <v>52183974.449999996</v>
      </c>
      <c r="H39" s="1079">
        <f t="shared" si="1"/>
        <v>88759798.966497004</v>
      </c>
    </row>
  </sheetData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M28"/>
  <sheetViews>
    <sheetView topLeftCell="A13" workbookViewId="0">
      <selection activeCell="E15" sqref="E15"/>
    </sheetView>
  </sheetViews>
  <sheetFormatPr baseColWidth="10" defaultRowHeight="14.25"/>
  <cols>
    <col min="1" max="1" width="3" style="407" customWidth="1"/>
    <col min="2" max="2" width="18.5703125" style="407" customWidth="1"/>
    <col min="3" max="3" width="19" style="407" customWidth="1"/>
    <col min="4" max="4" width="11.42578125" style="407"/>
    <col min="5" max="5" width="12" style="407" bestFit="1" customWidth="1"/>
    <col min="6" max="7" width="11.42578125" style="407"/>
    <col min="8" max="8" width="13.42578125" style="407" customWidth="1"/>
    <col min="9" max="9" width="10" style="407" customWidth="1"/>
    <col min="10" max="10" width="3" style="407" customWidth="1"/>
    <col min="11" max="16384" width="11.42578125" style="407"/>
  </cols>
  <sheetData>
    <row r="1" spans="1:13">
      <c r="A1" s="406"/>
      <c r="B1" s="406"/>
      <c r="C1" s="406"/>
      <c r="D1" s="406"/>
      <c r="E1" s="406"/>
      <c r="F1" s="406"/>
      <c r="G1" s="406"/>
      <c r="H1" s="406"/>
      <c r="I1" s="406"/>
      <c r="J1" s="406"/>
    </row>
    <row r="2" spans="1:13">
      <c r="A2" s="406"/>
      <c r="B2" s="1742"/>
      <c r="C2" s="1743"/>
      <c r="D2" s="1743"/>
      <c r="E2" s="1743"/>
      <c r="F2" s="1743"/>
      <c r="G2" s="1743"/>
      <c r="H2" s="1743"/>
      <c r="I2" s="1744"/>
      <c r="J2" s="406"/>
    </row>
    <row r="3" spans="1:13">
      <c r="A3" s="406"/>
      <c r="B3" s="1745" t="s">
        <v>2987</v>
      </c>
      <c r="C3" s="1746"/>
      <c r="D3" s="1746"/>
      <c r="E3" s="1746"/>
      <c r="F3" s="1746"/>
      <c r="G3" s="1746"/>
      <c r="H3" s="1746"/>
      <c r="I3" s="1747"/>
      <c r="J3" s="406"/>
    </row>
    <row r="4" spans="1:13">
      <c r="A4" s="406"/>
      <c r="B4" s="1745" t="s">
        <v>228</v>
      </c>
      <c r="C4" s="1746"/>
      <c r="D4" s="1746"/>
      <c r="E4" s="1746"/>
      <c r="F4" s="1746"/>
      <c r="G4" s="1746"/>
      <c r="H4" s="1746"/>
      <c r="I4" s="1747"/>
      <c r="J4" s="406"/>
    </row>
    <row r="5" spans="1:13">
      <c r="A5" s="406"/>
      <c r="B5" s="1748" t="str">
        <f>+EA!C3</f>
        <v>Del 1 de enero al 31 de diciembre de 2021</v>
      </c>
      <c r="C5" s="1749"/>
      <c r="D5" s="1749"/>
      <c r="E5" s="1749"/>
      <c r="F5" s="1749"/>
      <c r="G5" s="1749"/>
      <c r="H5" s="1749"/>
      <c r="I5" s="1750"/>
      <c r="J5" s="406"/>
    </row>
    <row r="6" spans="1:13">
      <c r="A6" s="406"/>
      <c r="B6" s="452"/>
      <c r="C6" s="406"/>
      <c r="D6" s="406"/>
      <c r="E6" s="406"/>
      <c r="F6" s="406"/>
      <c r="G6" s="406"/>
      <c r="H6" s="406"/>
      <c r="I6" s="406"/>
      <c r="J6" s="406"/>
      <c r="L6" s="729"/>
    </row>
    <row r="7" spans="1:13">
      <c r="A7" s="406"/>
      <c r="B7" s="1907" t="s">
        <v>876</v>
      </c>
      <c r="C7" s="1907"/>
      <c r="D7" s="1907" t="s">
        <v>877</v>
      </c>
      <c r="E7" s="1907"/>
      <c r="F7" s="1907" t="s">
        <v>878</v>
      </c>
      <c r="G7" s="1907"/>
      <c r="H7" s="1907" t="s">
        <v>879</v>
      </c>
      <c r="I7" s="1907"/>
      <c r="J7" s="406"/>
    </row>
    <row r="8" spans="1:13">
      <c r="A8" s="406"/>
      <c r="B8" s="1907"/>
      <c r="C8" s="1907"/>
      <c r="D8" s="1907" t="s">
        <v>345</v>
      </c>
      <c r="E8" s="1907"/>
      <c r="F8" s="1907" t="s">
        <v>880</v>
      </c>
      <c r="G8" s="1907"/>
      <c r="H8" s="1907" t="s">
        <v>881</v>
      </c>
      <c r="I8" s="1907"/>
      <c r="J8" s="406"/>
    </row>
    <row r="9" spans="1:13">
      <c r="A9" s="406"/>
      <c r="B9" s="1745" t="s">
        <v>882</v>
      </c>
      <c r="C9" s="1746"/>
      <c r="D9" s="1746"/>
      <c r="E9" s="1746"/>
      <c r="F9" s="1746"/>
      <c r="G9" s="1746"/>
      <c r="H9" s="1746"/>
      <c r="I9" s="1747"/>
      <c r="J9" s="406"/>
      <c r="L9" s="729"/>
    </row>
    <row r="10" spans="1:13">
      <c r="A10" s="406"/>
      <c r="B10" s="1908"/>
      <c r="C10" s="1908"/>
      <c r="D10" s="1908"/>
      <c r="E10" s="1908"/>
      <c r="F10" s="1908"/>
      <c r="G10" s="1908"/>
      <c r="H10" s="1910">
        <f>+D10-F10</f>
        <v>0</v>
      </c>
      <c r="I10" s="1911"/>
      <c r="J10" s="406"/>
    </row>
    <row r="11" spans="1:13">
      <c r="A11" s="406"/>
      <c r="B11" s="1908"/>
      <c r="C11" s="1908"/>
      <c r="D11" s="1909"/>
      <c r="E11" s="1909"/>
      <c r="F11" s="1909"/>
      <c r="G11" s="1909"/>
      <c r="H11" s="1910">
        <f t="shared" ref="H11:H12" si="0">+D11-F11</f>
        <v>0</v>
      </c>
      <c r="I11" s="1911"/>
      <c r="J11" s="406"/>
      <c r="K11" s="729"/>
      <c r="L11" s="729"/>
    </row>
    <row r="12" spans="1:13">
      <c r="A12" s="406"/>
      <c r="B12" s="1908" t="s">
        <v>883</v>
      </c>
      <c r="C12" s="1908"/>
      <c r="D12" s="1909">
        <f>SUM(D10:E11)</f>
        <v>0</v>
      </c>
      <c r="E12" s="1909"/>
      <c r="F12" s="1909">
        <f>SUM(F10:G11)</f>
        <v>0</v>
      </c>
      <c r="G12" s="1909"/>
      <c r="H12" s="1910">
        <f t="shared" si="0"/>
        <v>0</v>
      </c>
      <c r="I12" s="1911"/>
      <c r="J12" s="406"/>
      <c r="L12" s="729"/>
    </row>
    <row r="13" spans="1:13">
      <c r="A13" s="406"/>
      <c r="B13" s="1908"/>
      <c r="C13" s="1908"/>
      <c r="D13" s="1908"/>
      <c r="E13" s="1908"/>
      <c r="F13" s="1908"/>
      <c r="G13" s="1908"/>
      <c r="H13" s="1908"/>
      <c r="I13" s="1908"/>
      <c r="J13" s="406"/>
      <c r="K13" s="784"/>
      <c r="L13" s="729"/>
    </row>
    <row r="14" spans="1:13">
      <c r="A14" s="406"/>
      <c r="B14" s="1745" t="s">
        <v>884</v>
      </c>
      <c r="C14" s="1746"/>
      <c r="D14" s="1746"/>
      <c r="E14" s="1746"/>
      <c r="F14" s="1746"/>
      <c r="G14" s="1746"/>
      <c r="H14" s="1746"/>
      <c r="I14" s="1747"/>
      <c r="J14" s="406"/>
      <c r="L14" s="729"/>
    </row>
    <row r="15" spans="1:13" ht="22.5">
      <c r="A15" s="406"/>
      <c r="B15" s="457" t="s">
        <v>952</v>
      </c>
      <c r="C15" s="458" t="s">
        <v>953</v>
      </c>
      <c r="D15" s="455"/>
      <c r="E15" s="459">
        <v>1694817.41</v>
      </c>
      <c r="F15" s="1908"/>
      <c r="G15" s="1908"/>
      <c r="H15" s="1912">
        <f>+E15-F15</f>
        <v>1694817.41</v>
      </c>
      <c r="I15" s="1911"/>
      <c r="J15" s="406"/>
      <c r="L15" s="784"/>
      <c r="M15" s="729"/>
    </row>
    <row r="16" spans="1:13" ht="22.5">
      <c r="A16" s="406"/>
      <c r="B16" s="457" t="s">
        <v>1836</v>
      </c>
      <c r="C16" s="458" t="s">
        <v>1837</v>
      </c>
      <c r="D16" s="455"/>
      <c r="E16" s="459">
        <v>30289.73</v>
      </c>
      <c r="F16" s="1908"/>
      <c r="G16" s="1908"/>
      <c r="H16" s="1912">
        <f t="shared" ref="H16:H23" si="1">+E16-F16</f>
        <v>30289.73</v>
      </c>
      <c r="I16" s="1911"/>
      <c r="J16" s="406"/>
      <c r="M16" s="729"/>
    </row>
    <row r="17" spans="1:12" ht="22.5">
      <c r="A17" s="406"/>
      <c r="B17" s="457" t="s">
        <v>7430</v>
      </c>
      <c r="C17" s="458" t="s">
        <v>7436</v>
      </c>
      <c r="D17" s="455"/>
      <c r="E17" s="459">
        <v>395066.39</v>
      </c>
      <c r="F17" s="1908"/>
      <c r="G17" s="1908"/>
      <c r="H17" s="1912">
        <f t="shared" si="1"/>
        <v>395066.39</v>
      </c>
      <c r="I17" s="1911"/>
      <c r="J17" s="406"/>
    </row>
    <row r="18" spans="1:12" ht="22.5">
      <c r="A18" s="406"/>
      <c r="B18" s="457" t="s">
        <v>2182</v>
      </c>
      <c r="C18" s="458" t="s">
        <v>7437</v>
      </c>
      <c r="D18" s="455"/>
      <c r="E18" s="459">
        <v>585195</v>
      </c>
      <c r="F18" s="1908"/>
      <c r="G18" s="1908"/>
      <c r="H18" s="1912">
        <f t="shared" si="1"/>
        <v>585195</v>
      </c>
      <c r="I18" s="1911"/>
      <c r="J18" s="406"/>
      <c r="L18" s="729"/>
    </row>
    <row r="19" spans="1:12" ht="22.5">
      <c r="A19" s="406"/>
      <c r="B19" s="457" t="s">
        <v>7431</v>
      </c>
      <c r="C19" s="458" t="s">
        <v>7438</v>
      </c>
      <c r="D19" s="455"/>
      <c r="E19" s="459">
        <v>3598</v>
      </c>
      <c r="F19" s="1908"/>
      <c r="G19" s="1908"/>
      <c r="H19" s="1912">
        <f t="shared" si="1"/>
        <v>3598</v>
      </c>
      <c r="I19" s="1911"/>
      <c r="J19" s="406"/>
      <c r="L19" s="729"/>
    </row>
    <row r="20" spans="1:12" ht="33.75">
      <c r="A20" s="406"/>
      <c r="B20" s="457" t="s">
        <v>7432</v>
      </c>
      <c r="C20" s="458" t="s">
        <v>7439</v>
      </c>
      <c r="D20" s="455"/>
      <c r="E20" s="459">
        <v>8584</v>
      </c>
      <c r="F20" s="1908"/>
      <c r="G20" s="1908"/>
      <c r="H20" s="1912">
        <f t="shared" si="1"/>
        <v>8584</v>
      </c>
      <c r="I20" s="1911"/>
      <c r="J20" s="406"/>
    </row>
    <row r="21" spans="1:12" ht="33.75">
      <c r="A21" s="406"/>
      <c r="B21" s="457" t="s">
        <v>7433</v>
      </c>
      <c r="C21" s="458" t="s">
        <v>7440</v>
      </c>
      <c r="D21" s="455"/>
      <c r="E21" s="459">
        <v>510</v>
      </c>
      <c r="F21" s="1908"/>
      <c r="G21" s="1908"/>
      <c r="H21" s="1912">
        <f t="shared" si="1"/>
        <v>510</v>
      </c>
      <c r="I21" s="1911"/>
      <c r="J21" s="406"/>
    </row>
    <row r="22" spans="1:12" ht="33.75">
      <c r="A22" s="406"/>
      <c r="B22" s="457" t="s">
        <v>7434</v>
      </c>
      <c r="C22" s="458" t="s">
        <v>2981</v>
      </c>
      <c r="D22" s="455"/>
      <c r="E22" s="459">
        <v>19.95</v>
      </c>
      <c r="F22" s="1913"/>
      <c r="G22" s="1914"/>
      <c r="H22" s="1912">
        <f t="shared" si="1"/>
        <v>19.95</v>
      </c>
      <c r="I22" s="1911"/>
      <c r="J22" s="406"/>
    </row>
    <row r="23" spans="1:12" ht="22.5">
      <c r="A23" s="406"/>
      <c r="B23" s="457" t="s">
        <v>7435</v>
      </c>
      <c r="C23" s="458" t="s">
        <v>2981</v>
      </c>
      <c r="D23" s="455"/>
      <c r="E23" s="459">
        <v>26.44</v>
      </c>
      <c r="F23" s="1406"/>
      <c r="G23" s="1407"/>
      <c r="H23" s="1912">
        <f t="shared" si="1"/>
        <v>26.44</v>
      </c>
      <c r="I23" s="1911"/>
      <c r="J23" s="406"/>
    </row>
    <row r="24" spans="1:12">
      <c r="A24" s="406"/>
      <c r="B24" s="455"/>
      <c r="C24" s="456"/>
      <c r="D24" s="1909"/>
      <c r="E24" s="1909"/>
      <c r="F24" s="1909"/>
      <c r="G24" s="1909"/>
      <c r="H24" s="1912"/>
      <c r="I24" s="1911"/>
      <c r="J24" s="406"/>
    </row>
    <row r="25" spans="1:12">
      <c r="A25" s="406"/>
      <c r="B25" s="1908" t="s">
        <v>885</v>
      </c>
      <c r="C25" s="1908"/>
      <c r="D25" s="1918">
        <f>SUM(D15:E24)</f>
        <v>2718106.92</v>
      </c>
      <c r="E25" s="1918"/>
      <c r="F25" s="1918">
        <f>SUM(F15:G24)</f>
        <v>0</v>
      </c>
      <c r="G25" s="1918"/>
      <c r="H25" s="1918">
        <f>SUM(H15:I24)</f>
        <v>2718106.92</v>
      </c>
      <c r="I25" s="1918"/>
      <c r="J25" s="406"/>
    </row>
    <row r="26" spans="1:12">
      <c r="A26" s="406"/>
      <c r="B26" s="1908"/>
      <c r="C26" s="1908"/>
      <c r="D26" s="1918"/>
      <c r="E26" s="1918"/>
      <c r="F26" s="1918"/>
      <c r="G26" s="1918"/>
      <c r="H26" s="1918"/>
      <c r="I26" s="1918"/>
      <c r="J26" s="406"/>
    </row>
    <row r="27" spans="1:12">
      <c r="A27" s="406"/>
      <c r="B27" s="1913" t="s">
        <v>98</v>
      </c>
      <c r="C27" s="1915"/>
      <c r="D27" s="1916">
        <f>+D12+D25</f>
        <v>2718106.92</v>
      </c>
      <c r="E27" s="1917"/>
      <c r="F27" s="1916">
        <f>+F12+F25</f>
        <v>0</v>
      </c>
      <c r="G27" s="1917"/>
      <c r="H27" s="1916">
        <f>+H12+H25</f>
        <v>2718106.92</v>
      </c>
      <c r="I27" s="1917"/>
      <c r="J27" s="406"/>
    </row>
    <row r="28" spans="1:12">
      <c r="A28" s="406"/>
      <c r="B28" s="406"/>
      <c r="C28" s="406"/>
      <c r="D28" s="406"/>
      <c r="E28" s="406"/>
      <c r="F28" s="406"/>
      <c r="G28" s="406"/>
      <c r="H28" s="406"/>
      <c r="I28" s="406"/>
      <c r="J28" s="406"/>
    </row>
  </sheetData>
  <mergeCells count="62">
    <mergeCell ref="D24:E24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F24:G24"/>
    <mergeCell ref="H24:I24"/>
    <mergeCell ref="F18:G18"/>
    <mergeCell ref="F17:G17"/>
    <mergeCell ref="H17:I17"/>
    <mergeCell ref="F20:G20"/>
    <mergeCell ref="H20:I20"/>
    <mergeCell ref="H18:I18"/>
    <mergeCell ref="F19:G19"/>
    <mergeCell ref="H19:I19"/>
    <mergeCell ref="F21:G21"/>
    <mergeCell ref="H21:I21"/>
    <mergeCell ref="F22:G22"/>
    <mergeCell ref="H22:I22"/>
    <mergeCell ref="H23:I23"/>
    <mergeCell ref="B14:I14"/>
    <mergeCell ref="F15:G15"/>
    <mergeCell ref="H15:I15"/>
    <mergeCell ref="H16:I16"/>
    <mergeCell ref="F16:G16"/>
    <mergeCell ref="B10:C10"/>
    <mergeCell ref="D10:E10"/>
    <mergeCell ref="F11:G11"/>
    <mergeCell ref="H11:I11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9:I9"/>
    <mergeCell ref="F10:G10"/>
    <mergeCell ref="B12:C12"/>
    <mergeCell ref="D12:E12"/>
    <mergeCell ref="F12:G12"/>
    <mergeCell ref="H12:I12"/>
    <mergeCell ref="B11:C11"/>
    <mergeCell ref="D11:E11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E648-74D5-44B2-A754-7B0480FD033D}">
  <dimension ref="B1:E26"/>
  <sheetViews>
    <sheetView workbookViewId="0">
      <selection activeCell="C22" sqref="C22"/>
    </sheetView>
  </sheetViews>
  <sheetFormatPr baseColWidth="10" defaultRowHeight="12.7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3.5" thickBot="1">
      <c r="B1" s="1061"/>
      <c r="C1" s="1061"/>
      <c r="D1" s="1061"/>
      <c r="E1" s="1061"/>
    </row>
    <row r="2" spans="2:5">
      <c r="B2" s="1806" t="s">
        <v>2987</v>
      </c>
      <c r="C2" s="1807"/>
      <c r="D2" s="1807"/>
      <c r="E2" s="1808"/>
    </row>
    <row r="3" spans="2:5">
      <c r="B3" s="1809" t="s">
        <v>228</v>
      </c>
      <c r="C3" s="1810"/>
      <c r="D3" s="1810"/>
      <c r="E3" s="1811"/>
    </row>
    <row r="4" spans="2:5" ht="13.5" thickBot="1">
      <c r="B4" s="1839"/>
      <c r="C4" s="1840"/>
      <c r="D4" s="1840"/>
      <c r="E4" s="1922"/>
    </row>
    <row r="5" spans="2:5" ht="13.5" thickBot="1">
      <c r="B5" s="1818" t="s">
        <v>4851</v>
      </c>
      <c r="C5" s="1133" t="s">
        <v>4852</v>
      </c>
      <c r="D5" s="1133" t="s">
        <v>4853</v>
      </c>
      <c r="E5" s="1085" t="s">
        <v>879</v>
      </c>
    </row>
    <row r="6" spans="2:5" ht="13.5" thickBot="1">
      <c r="B6" s="1819"/>
      <c r="C6" s="1062" t="s">
        <v>345</v>
      </c>
      <c r="D6" s="1062" t="s">
        <v>880</v>
      </c>
      <c r="E6" s="1062" t="s">
        <v>881</v>
      </c>
    </row>
    <row r="7" spans="2:5" ht="13.5" thickBot="1">
      <c r="B7" s="1919" t="s">
        <v>882</v>
      </c>
      <c r="C7" s="1920"/>
      <c r="D7" s="1920"/>
      <c r="E7" s="1921"/>
    </row>
    <row r="8" spans="2:5">
      <c r="B8" s="1134"/>
      <c r="C8" s="1135"/>
      <c r="D8" s="1135"/>
      <c r="E8" s="1136">
        <f t="shared" ref="E8:E15" si="0">C8-D8</f>
        <v>0</v>
      </c>
    </row>
    <row r="9" spans="2:5">
      <c r="B9" s="1137"/>
      <c r="C9" s="1138"/>
      <c r="D9" s="1138"/>
      <c r="E9" s="1139">
        <f t="shared" si="0"/>
        <v>0</v>
      </c>
    </row>
    <row r="10" spans="2:5">
      <c r="B10" s="1137"/>
      <c r="C10" s="1138"/>
      <c r="D10" s="1138"/>
      <c r="E10" s="1139">
        <f t="shared" si="0"/>
        <v>0</v>
      </c>
    </row>
    <row r="11" spans="2:5">
      <c r="B11" s="1137"/>
      <c r="C11" s="1138"/>
      <c r="D11" s="1138"/>
      <c r="E11" s="1139">
        <f t="shared" si="0"/>
        <v>0</v>
      </c>
    </row>
    <row r="12" spans="2:5">
      <c r="B12" s="1140"/>
      <c r="C12" s="1138"/>
      <c r="D12" s="1138"/>
      <c r="E12" s="1139">
        <f t="shared" si="0"/>
        <v>0</v>
      </c>
    </row>
    <row r="13" spans="2:5">
      <c r="B13" s="1137"/>
      <c r="C13" s="1138"/>
      <c r="D13" s="1138"/>
      <c r="E13" s="1139">
        <f t="shared" si="0"/>
        <v>0</v>
      </c>
    </row>
    <row r="14" spans="2:5">
      <c r="B14" s="1140"/>
      <c r="C14" s="1138"/>
      <c r="D14" s="1138"/>
      <c r="E14" s="1139">
        <f t="shared" si="0"/>
        <v>0</v>
      </c>
    </row>
    <row r="15" spans="2:5" s="1144" customFormat="1" ht="15">
      <c r="B15" s="1141" t="s">
        <v>4854</v>
      </c>
      <c r="C15" s="1142">
        <f>SUM(C8:C14)</f>
        <v>0</v>
      </c>
      <c r="D15" s="1142">
        <f>SUM(D8:D14)</f>
        <v>0</v>
      </c>
      <c r="E15" s="1143">
        <f t="shared" si="0"/>
        <v>0</v>
      </c>
    </row>
    <row r="16" spans="2:5" ht="13.5" thickBot="1">
      <c r="B16" s="1145"/>
      <c r="C16" s="1146"/>
      <c r="D16" s="1146"/>
      <c r="E16" s="1147"/>
    </row>
    <row r="17" spans="2:5" ht="13.5" thickBot="1">
      <c r="B17" s="1919" t="s">
        <v>884</v>
      </c>
      <c r="C17" s="1920"/>
      <c r="D17" s="1920"/>
      <c r="E17" s="1921"/>
    </row>
    <row r="18" spans="2:5">
      <c r="B18" s="1148" t="s">
        <v>4855</v>
      </c>
      <c r="C18" s="1135">
        <f>+'End Neto'!E15</f>
        <v>1694817.41</v>
      </c>
      <c r="D18" s="1135"/>
      <c r="E18" s="1136">
        <f t="shared" ref="E18:E24" si="1">C18-D18</f>
        <v>1694817.41</v>
      </c>
    </row>
    <row r="19" spans="2:5">
      <c r="B19" s="1140" t="s">
        <v>4856</v>
      </c>
      <c r="C19" s="1138">
        <f>+'End Neto'!E16</f>
        <v>30289.73</v>
      </c>
      <c r="D19" s="1138"/>
      <c r="E19" s="1139">
        <f t="shared" si="1"/>
        <v>30289.73</v>
      </c>
    </row>
    <row r="20" spans="2:5">
      <c r="B20" s="1140" t="s">
        <v>7441</v>
      </c>
      <c r="C20" s="1138">
        <f>+'End Neto'!E17</f>
        <v>395066.39</v>
      </c>
      <c r="D20" s="1138"/>
      <c r="E20" s="1139">
        <f t="shared" si="1"/>
        <v>395066.39</v>
      </c>
    </row>
    <row r="21" spans="2:5">
      <c r="B21" s="1140" t="s">
        <v>7442</v>
      </c>
      <c r="C21" s="1138">
        <f>+'End Neto'!E18+'End Neto'!E19+'End Neto'!E20+'End Neto'!E21</f>
        <v>597887</v>
      </c>
      <c r="D21" s="1138"/>
      <c r="E21" s="1139">
        <f t="shared" si="1"/>
        <v>597887</v>
      </c>
    </row>
    <row r="22" spans="2:5">
      <c r="B22" s="1140" t="s">
        <v>4857</v>
      </c>
      <c r="C22" s="1138">
        <f>+'End Neto'!E23+'End Neto'!E22</f>
        <v>46.39</v>
      </c>
      <c r="D22" s="1138"/>
      <c r="E22" s="1139">
        <f t="shared" si="1"/>
        <v>46.39</v>
      </c>
    </row>
    <row r="23" spans="2:5">
      <c r="B23" s="1140"/>
      <c r="C23" s="1138"/>
      <c r="D23" s="1138"/>
      <c r="E23" s="1139">
        <f t="shared" si="1"/>
        <v>0</v>
      </c>
    </row>
    <row r="24" spans="2:5" s="1144" customFormat="1" ht="15">
      <c r="B24" s="1149" t="s">
        <v>885</v>
      </c>
      <c r="C24" s="1142">
        <f>SUM(C18:C23)</f>
        <v>2718106.92</v>
      </c>
      <c r="D24" s="1142">
        <f>SUM(D18:D23)</f>
        <v>0</v>
      </c>
      <c r="E24" s="1143">
        <f t="shared" si="1"/>
        <v>2718106.92</v>
      </c>
    </row>
    <row r="25" spans="2:5">
      <c r="B25" s="1150"/>
      <c r="C25" s="1151"/>
      <c r="D25" s="1151"/>
      <c r="E25" s="1139"/>
    </row>
    <row r="26" spans="2:5" ht="13.5" thickBot="1">
      <c r="B26" s="1152" t="s">
        <v>98</v>
      </c>
      <c r="C26" s="1153">
        <f>SUM(C24,C15)</f>
        <v>2718106.92</v>
      </c>
      <c r="D26" s="1153">
        <f>SUM(D24,D15)</f>
        <v>0</v>
      </c>
      <c r="E26" s="1154">
        <f>C26-D26</f>
        <v>2718106.92</v>
      </c>
    </row>
  </sheetData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04D1-EA03-4A72-BBE3-36C63D6FBAA4}">
  <dimension ref="A1:D29"/>
  <sheetViews>
    <sheetView workbookViewId="0">
      <selection activeCell="G13" sqref="G13"/>
    </sheetView>
  </sheetViews>
  <sheetFormatPr baseColWidth="10" defaultRowHeight="11.25"/>
  <cols>
    <col min="1" max="1" width="15.85546875" style="1155" customWidth="1"/>
    <col min="2" max="2" width="20.140625" style="1155" customWidth="1"/>
    <col min="3" max="3" width="28.85546875" style="1155" customWidth="1"/>
    <col min="4" max="4" width="24.42578125" style="1155" customWidth="1"/>
    <col min="5" max="16384" width="11.42578125" style="1155"/>
  </cols>
  <sheetData>
    <row r="1" spans="1:4">
      <c r="A1" s="1928"/>
      <c r="B1" s="1929"/>
      <c r="C1" s="1929"/>
      <c r="D1" s="1930"/>
    </row>
    <row r="2" spans="1:4">
      <c r="A2" s="1931" t="s">
        <v>2987</v>
      </c>
      <c r="B2" s="1932"/>
      <c r="C2" s="1932"/>
      <c r="D2" s="1933"/>
    </row>
    <row r="3" spans="1:4">
      <c r="A3" s="1931" t="s">
        <v>886</v>
      </c>
      <c r="B3" s="1932"/>
      <c r="C3" s="1932"/>
      <c r="D3" s="1933"/>
    </row>
    <row r="4" spans="1:4">
      <c r="A4" s="1934" t="str">
        <f>+EAA!C5</f>
        <v>Del 1 de enero al 31 de diciembre de 2021</v>
      </c>
      <c r="B4" s="1935"/>
      <c r="C4" s="1935"/>
      <c r="D4" s="1936"/>
    </row>
    <row r="5" spans="1:4">
      <c r="A5" s="1156"/>
      <c r="B5" s="1156"/>
      <c r="C5" s="1157"/>
    </row>
    <row r="6" spans="1:4">
      <c r="A6" s="1925" t="s">
        <v>876</v>
      </c>
      <c r="B6" s="1927"/>
      <c r="C6" s="1158" t="s">
        <v>236</v>
      </c>
      <c r="D6" s="1158" t="s">
        <v>819</v>
      </c>
    </row>
    <row r="7" spans="1:4">
      <c r="A7" s="1925" t="s">
        <v>882</v>
      </c>
      <c r="B7" s="1926"/>
      <c r="C7" s="1926"/>
      <c r="D7" s="1927"/>
    </row>
    <row r="8" spans="1:4">
      <c r="A8" s="1923"/>
      <c r="B8" s="1924"/>
      <c r="C8" s="1159"/>
      <c r="D8" s="1160"/>
    </row>
    <row r="9" spans="1:4">
      <c r="A9" s="1923"/>
      <c r="B9" s="1924"/>
      <c r="C9" s="1159"/>
      <c r="D9" s="1160"/>
    </row>
    <row r="10" spans="1:4">
      <c r="A10" s="1923"/>
      <c r="B10" s="1924"/>
      <c r="C10" s="1159"/>
      <c r="D10" s="1160"/>
    </row>
    <row r="11" spans="1:4">
      <c r="A11" s="1923"/>
      <c r="B11" s="1924"/>
      <c r="C11" s="1159"/>
      <c r="D11" s="1160"/>
    </row>
    <row r="12" spans="1:4">
      <c r="A12" s="1161" t="s">
        <v>887</v>
      </c>
      <c r="B12" s="1162"/>
      <c r="C12" s="1159">
        <f>SUM(C8:C11)</f>
        <v>0</v>
      </c>
      <c r="D12" s="1159">
        <f>SUM(D8:D11)</f>
        <v>0</v>
      </c>
    </row>
    <row r="13" spans="1:4">
      <c r="A13" s="1923"/>
      <c r="B13" s="1924"/>
      <c r="C13" s="1159"/>
      <c r="D13" s="1160"/>
    </row>
    <row r="14" spans="1:4">
      <c r="A14" s="1925" t="s">
        <v>884</v>
      </c>
      <c r="B14" s="1926"/>
      <c r="C14" s="1926"/>
      <c r="D14" s="1927"/>
    </row>
    <row r="15" spans="1:4">
      <c r="A15" s="1923"/>
      <c r="B15" s="1924"/>
      <c r="C15" s="1159"/>
      <c r="D15" s="1160"/>
    </row>
    <row r="16" spans="1:4">
      <c r="A16" s="1163"/>
      <c r="B16" s="1164"/>
      <c r="C16" s="459"/>
      <c r="D16" s="459"/>
    </row>
    <row r="17" spans="1:4">
      <c r="A17" s="1923"/>
      <c r="B17" s="1924"/>
      <c r="C17" s="461"/>
      <c r="D17" s="460"/>
    </row>
    <row r="18" spans="1:4">
      <c r="A18" s="1923"/>
      <c r="B18" s="1924"/>
      <c r="C18" s="461"/>
      <c r="D18" s="460"/>
    </row>
    <row r="19" spans="1:4">
      <c r="A19" s="1923"/>
      <c r="B19" s="1924"/>
      <c r="C19" s="461"/>
      <c r="D19" s="460"/>
    </row>
    <row r="20" spans="1:4">
      <c r="A20" s="1923"/>
      <c r="B20" s="1924"/>
      <c r="C20" s="461"/>
      <c r="D20" s="460"/>
    </row>
    <row r="21" spans="1:4">
      <c r="A21" s="1923"/>
      <c r="B21" s="1924"/>
      <c r="C21" s="461"/>
      <c r="D21" s="460"/>
    </row>
    <row r="22" spans="1:4">
      <c r="A22" s="1923"/>
      <c r="B22" s="1924"/>
      <c r="C22" s="461"/>
      <c r="D22" s="460"/>
    </row>
    <row r="23" spans="1:4">
      <c r="A23" s="1923"/>
      <c r="B23" s="1924"/>
      <c r="C23" s="461"/>
      <c r="D23" s="460"/>
    </row>
    <row r="24" spans="1:4">
      <c r="A24" s="1923"/>
      <c r="B24" s="1924"/>
      <c r="C24" s="461"/>
      <c r="D24" s="460"/>
    </row>
    <row r="25" spans="1:4">
      <c r="A25" s="1923"/>
      <c r="B25" s="1924"/>
      <c r="C25" s="461"/>
      <c r="D25" s="460"/>
    </row>
    <row r="26" spans="1:4">
      <c r="A26" s="1923"/>
      <c r="B26" s="1924"/>
      <c r="C26" s="461"/>
      <c r="D26" s="460"/>
    </row>
    <row r="27" spans="1:4">
      <c r="A27" s="1161" t="s">
        <v>888</v>
      </c>
      <c r="B27" s="1162"/>
      <c r="C27" s="461">
        <f>SUM(C15:C26)</f>
        <v>0</v>
      </c>
      <c r="D27" s="461">
        <f>SUM(D15:D26)</f>
        <v>0</v>
      </c>
    </row>
    <row r="28" spans="1:4">
      <c r="A28" s="1923"/>
      <c r="B28" s="1924"/>
      <c r="C28" s="461"/>
      <c r="D28" s="460"/>
    </row>
    <row r="29" spans="1:4">
      <c r="A29" s="1923" t="s">
        <v>98</v>
      </c>
      <c r="B29" s="1924"/>
      <c r="C29" s="462">
        <f>+C12+C27</f>
        <v>0</v>
      </c>
      <c r="D29" s="462">
        <f>+D12+D27</f>
        <v>0</v>
      </c>
    </row>
  </sheetData>
  <mergeCells count="25">
    <mergeCell ref="A7:D7"/>
    <mergeCell ref="A1:D1"/>
    <mergeCell ref="A2:D2"/>
    <mergeCell ref="A3:D3"/>
    <mergeCell ref="A4:D4"/>
    <mergeCell ref="A6:B6"/>
    <mergeCell ref="A21:B21"/>
    <mergeCell ref="A8:B8"/>
    <mergeCell ref="A9:B9"/>
    <mergeCell ref="A10:B10"/>
    <mergeCell ref="A11:B11"/>
    <mergeCell ref="A13:B13"/>
    <mergeCell ref="A14:D14"/>
    <mergeCell ref="A15:B15"/>
    <mergeCell ref="A17:B17"/>
    <mergeCell ref="A18:B18"/>
    <mergeCell ref="A19:B19"/>
    <mergeCell ref="A20:B20"/>
    <mergeCell ref="A29:B29"/>
    <mergeCell ref="A22:B22"/>
    <mergeCell ref="A23:B23"/>
    <mergeCell ref="A24:B24"/>
    <mergeCell ref="A25:B25"/>
    <mergeCell ref="A26:B26"/>
    <mergeCell ref="A28:B28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F36"/>
  <sheetViews>
    <sheetView workbookViewId="0">
      <selection activeCell="C13" sqref="C13"/>
    </sheetView>
  </sheetViews>
  <sheetFormatPr baseColWidth="10" defaultRowHeight="15"/>
  <cols>
    <col min="1" max="1" width="1.140625" style="361" customWidth="1"/>
    <col min="2" max="2" width="57" style="361" customWidth="1"/>
    <col min="3" max="5" width="11.7109375" style="361" bestFit="1" customWidth="1"/>
    <col min="6" max="6" width="4.28515625" style="354" customWidth="1"/>
    <col min="7" max="16384" width="11.42578125" style="361"/>
  </cols>
  <sheetData>
    <row r="1" spans="1:5">
      <c r="A1" s="1742" t="s">
        <v>2987</v>
      </c>
      <c r="B1" s="1743"/>
      <c r="C1" s="1743"/>
      <c r="D1" s="1743"/>
      <c r="E1" s="1743"/>
    </row>
    <row r="2" spans="1:5">
      <c r="A2" s="1745" t="s">
        <v>920</v>
      </c>
      <c r="B2" s="1746"/>
      <c r="C2" s="1746"/>
      <c r="D2" s="1746"/>
      <c r="E2" s="1746"/>
    </row>
    <row r="3" spans="1:5">
      <c r="A3" s="1748" t="str">
        <f>+EA!C3</f>
        <v>Del 1 de enero al 31 de diciembre de 2021</v>
      </c>
      <c r="B3" s="1749"/>
      <c r="C3" s="1749"/>
      <c r="D3" s="1749"/>
      <c r="E3" s="1749"/>
    </row>
    <row r="4" spans="1:5" ht="11.25" customHeight="1">
      <c r="A4" s="317"/>
      <c r="B4" s="452"/>
      <c r="C4" s="317"/>
      <c r="D4" s="317"/>
      <c r="E4" s="317"/>
    </row>
    <row r="5" spans="1:5">
      <c r="A5" s="1827" t="s">
        <v>230</v>
      </c>
      <c r="B5" s="1827"/>
      <c r="C5" s="653" t="s">
        <v>791</v>
      </c>
      <c r="D5" s="653" t="s">
        <v>236</v>
      </c>
      <c r="E5" s="653" t="s">
        <v>921</v>
      </c>
    </row>
    <row r="6" spans="1:5" ht="5.25" customHeight="1" thickBot="1">
      <c r="A6" s="370"/>
      <c r="B6" s="371"/>
      <c r="C6" s="372"/>
      <c r="D6" s="372"/>
      <c r="E6" s="372"/>
    </row>
    <row r="7" spans="1:5" ht="15.75" thickBot="1">
      <c r="A7" s="418"/>
      <c r="B7" s="419" t="s">
        <v>922</v>
      </c>
      <c r="C7" s="420">
        <f>+C8+C9</f>
        <v>104709875.48973811</v>
      </c>
      <c r="D7" s="420">
        <f t="shared" ref="D7:E7" si="0">+D8+D9</f>
        <v>106238739.84000002</v>
      </c>
      <c r="E7" s="420">
        <f t="shared" si="0"/>
        <v>106238739.84000002</v>
      </c>
    </row>
    <row r="8" spans="1:5">
      <c r="A8" s="1937" t="s">
        <v>923</v>
      </c>
      <c r="B8" s="1938"/>
      <c r="C8" s="417">
        <f>+EAI!E33</f>
        <v>0</v>
      </c>
      <c r="D8" s="417">
        <f>+EAI!H33</f>
        <v>0</v>
      </c>
      <c r="E8" s="417">
        <f>+EAI!I33</f>
        <v>0</v>
      </c>
    </row>
    <row r="9" spans="1:5">
      <c r="A9" s="1939" t="s">
        <v>924</v>
      </c>
      <c r="B9" s="1940"/>
      <c r="C9" s="421">
        <f>EAI!E26</f>
        <v>104709875.48973811</v>
      </c>
      <c r="D9" s="421">
        <f>EAI!H26</f>
        <v>106238739.84000002</v>
      </c>
      <c r="E9" s="421">
        <f>EAI!I26</f>
        <v>106238739.84000002</v>
      </c>
    </row>
    <row r="10" spans="1:5" ht="6.75" customHeight="1" thickBot="1">
      <c r="A10" s="355"/>
      <c r="B10" s="356"/>
      <c r="C10" s="374"/>
      <c r="D10" s="374"/>
      <c r="E10" s="374"/>
    </row>
    <row r="11" spans="1:5" ht="15.75" thickBot="1">
      <c r="A11" s="422"/>
      <c r="B11" s="419" t="s">
        <v>925</v>
      </c>
      <c r="C11" s="420">
        <f>+C12+C13</f>
        <v>140943773.41649699</v>
      </c>
      <c r="D11" s="420">
        <f t="shared" ref="D11:E11" si="1">+D12+D13</f>
        <v>52183974.449999996</v>
      </c>
      <c r="E11" s="420">
        <f t="shared" si="1"/>
        <v>52183974.449999996</v>
      </c>
    </row>
    <row r="12" spans="1:5">
      <c r="A12" s="1941" t="s">
        <v>926</v>
      </c>
      <c r="B12" s="1942"/>
      <c r="C12" s="417"/>
      <c r="D12" s="417"/>
      <c r="E12" s="417"/>
    </row>
    <row r="13" spans="1:5">
      <c r="A13" s="1939" t="s">
        <v>927</v>
      </c>
      <c r="B13" s="1940"/>
      <c r="C13" s="421">
        <f>+COG!F32</f>
        <v>140943773.41649699</v>
      </c>
      <c r="D13" s="421">
        <f>+COG!G32</f>
        <v>52183974.449999996</v>
      </c>
      <c r="E13" s="421">
        <f>+COG!H32</f>
        <v>52183974.449999996</v>
      </c>
    </row>
    <row r="14" spans="1:5" ht="5.25" customHeight="1" thickBot="1">
      <c r="A14" s="375"/>
      <c r="B14" s="373"/>
      <c r="C14" s="374"/>
      <c r="D14" s="374"/>
      <c r="E14" s="374"/>
    </row>
    <row r="15" spans="1:5" ht="15.75" thickBot="1">
      <c r="A15" s="418"/>
      <c r="B15" s="419" t="s">
        <v>928</v>
      </c>
      <c r="C15" s="420">
        <f>+C7-C11</f>
        <v>-36233897.926758885</v>
      </c>
      <c r="D15" s="420">
        <f t="shared" ref="D15:E15" si="2">+D7-D11</f>
        <v>54054765.390000023</v>
      </c>
      <c r="E15" s="420">
        <f t="shared" si="2"/>
        <v>54054765.390000023</v>
      </c>
    </row>
    <row r="16" spans="1:5">
      <c r="A16" s="317"/>
      <c r="B16" s="317"/>
      <c r="C16" s="423"/>
      <c r="D16" s="423"/>
      <c r="E16" s="423"/>
    </row>
    <row r="17" spans="1:5">
      <c r="A17" s="1827" t="s">
        <v>230</v>
      </c>
      <c r="B17" s="1827"/>
      <c r="C17" s="654" t="s">
        <v>791</v>
      </c>
      <c r="D17" s="654" t="s">
        <v>236</v>
      </c>
      <c r="E17" s="654" t="s">
        <v>921</v>
      </c>
    </row>
    <row r="18" spans="1:5" ht="6.75" customHeight="1">
      <c r="A18" s="370"/>
      <c r="B18" s="371"/>
      <c r="C18" s="424"/>
      <c r="D18" s="424"/>
      <c r="E18" s="424"/>
    </row>
    <row r="19" spans="1:5">
      <c r="A19" s="1943" t="s">
        <v>929</v>
      </c>
      <c r="B19" s="1944"/>
      <c r="C19" s="421">
        <f>+C15</f>
        <v>-36233897.926758885</v>
      </c>
      <c r="D19" s="421">
        <f t="shared" ref="D19:E19" si="3">+D15</f>
        <v>54054765.390000023</v>
      </c>
      <c r="E19" s="421">
        <f t="shared" si="3"/>
        <v>54054765.390000023</v>
      </c>
    </row>
    <row r="20" spans="1:5" ht="6" customHeight="1">
      <c r="A20" s="355"/>
      <c r="B20" s="356"/>
      <c r="C20" s="374"/>
      <c r="D20" s="374"/>
      <c r="E20" s="374"/>
    </row>
    <row r="21" spans="1:5">
      <c r="A21" s="1943" t="s">
        <v>930</v>
      </c>
      <c r="B21" s="1944"/>
      <c r="C21" s="421"/>
      <c r="D21" s="421"/>
      <c r="E21" s="421"/>
    </row>
    <row r="22" spans="1:5" ht="7.5" customHeight="1" thickBot="1">
      <c r="A22" s="375"/>
      <c r="B22" s="373"/>
      <c r="C22" s="374"/>
      <c r="D22" s="374"/>
      <c r="E22" s="374"/>
    </row>
    <row r="23" spans="1:5" ht="15.75" thickBot="1">
      <c r="A23" s="422"/>
      <c r="B23" s="419" t="s">
        <v>931</v>
      </c>
      <c r="C23" s="425">
        <f>+C19-C21</f>
        <v>-36233897.926758885</v>
      </c>
      <c r="D23" s="425">
        <f t="shared" ref="D23:E23" si="4">+D19-D21</f>
        <v>54054765.390000023</v>
      </c>
      <c r="E23" s="425">
        <f t="shared" si="4"/>
        <v>54054765.390000023</v>
      </c>
    </row>
    <row r="24" spans="1:5">
      <c r="A24" s="317"/>
      <c r="B24" s="317"/>
      <c r="C24" s="423"/>
      <c r="D24" s="423"/>
      <c r="E24" s="423"/>
    </row>
    <row r="25" spans="1:5">
      <c r="A25" s="1827" t="s">
        <v>230</v>
      </c>
      <c r="B25" s="1827"/>
      <c r="C25" s="654" t="s">
        <v>791</v>
      </c>
      <c r="D25" s="654" t="s">
        <v>236</v>
      </c>
      <c r="E25" s="654" t="s">
        <v>921</v>
      </c>
    </row>
    <row r="26" spans="1:5" ht="5.25" customHeight="1">
      <c r="A26" s="370"/>
      <c r="B26" s="371"/>
      <c r="C26" s="424"/>
      <c r="D26" s="424"/>
      <c r="E26" s="424"/>
    </row>
    <row r="27" spans="1:5">
      <c r="A27" s="1943" t="s">
        <v>932</v>
      </c>
      <c r="B27" s="1944"/>
      <c r="C27" s="421">
        <v>0</v>
      </c>
      <c r="D27" s="421">
        <v>0</v>
      </c>
      <c r="E27" s="421">
        <v>0</v>
      </c>
    </row>
    <row r="28" spans="1:5" ht="5.25" customHeight="1">
      <c r="A28" s="355"/>
      <c r="B28" s="356"/>
      <c r="C28" s="374"/>
      <c r="D28" s="374"/>
      <c r="E28" s="374"/>
    </row>
    <row r="29" spans="1:5">
      <c r="A29" s="1943" t="s">
        <v>933</v>
      </c>
      <c r="B29" s="1944"/>
      <c r="C29" s="421"/>
      <c r="D29" s="421"/>
      <c r="E29" s="421"/>
    </row>
    <row r="30" spans="1:5" ht="3.75" customHeight="1" thickBot="1">
      <c r="A30" s="376"/>
      <c r="B30" s="377"/>
      <c r="C30" s="417"/>
      <c r="D30" s="417"/>
      <c r="E30" s="417"/>
    </row>
    <row r="31" spans="1:5" ht="15.75" thickBot="1">
      <c r="A31" s="422"/>
      <c r="B31" s="419" t="s">
        <v>934</v>
      </c>
      <c r="C31" s="425">
        <f>+C27-C29</f>
        <v>0</v>
      </c>
      <c r="D31" s="425">
        <f t="shared" ref="D31:E31" si="5">+D27-D29</f>
        <v>0</v>
      </c>
      <c r="E31" s="425">
        <f t="shared" si="5"/>
        <v>0</v>
      </c>
    </row>
    <row r="32" spans="1:5" s="354" customFormat="1">
      <c r="A32" s="317"/>
      <c r="B32" s="317"/>
      <c r="C32" s="317"/>
      <c r="D32" s="317"/>
      <c r="E32" s="317"/>
    </row>
    <row r="33" spans="1:5" ht="23.25" customHeight="1">
      <c r="A33" s="317"/>
      <c r="B33" s="1945" t="s">
        <v>935</v>
      </c>
      <c r="C33" s="1945"/>
      <c r="D33" s="1945"/>
      <c r="E33" s="1945"/>
    </row>
    <row r="34" spans="1:5" ht="28.5" customHeight="1">
      <c r="A34" s="317"/>
      <c r="B34" s="1945" t="s">
        <v>936</v>
      </c>
      <c r="C34" s="1945"/>
      <c r="D34" s="1945"/>
      <c r="E34" s="1945"/>
    </row>
    <row r="35" spans="1:5">
      <c r="A35" s="317"/>
      <c r="B35" s="1946" t="s">
        <v>937</v>
      </c>
      <c r="C35" s="1946"/>
      <c r="D35" s="1946"/>
      <c r="E35" s="1946"/>
    </row>
    <row r="36" spans="1:5" s="35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F23B-2A8B-4817-9567-18DE32BE224F}">
  <dimension ref="B1:R79"/>
  <sheetViews>
    <sheetView topLeftCell="A43" workbookViewId="0">
      <selection activeCell="C57" sqref="C57"/>
    </sheetView>
  </sheetViews>
  <sheetFormatPr baseColWidth="10" defaultRowHeight="12.75"/>
  <cols>
    <col min="1" max="1" width="3.7109375" customWidth="1"/>
    <col min="2" max="2" width="49.7109375" style="1224" customWidth="1"/>
    <col min="3" max="5" width="17.85546875" style="921" customWidth="1"/>
    <col min="6" max="6" width="11.7109375" bestFit="1" customWidth="1"/>
  </cols>
  <sheetData>
    <row r="1" spans="2:5" ht="15" customHeight="1" thickBot="1"/>
    <row r="2" spans="2:5">
      <c r="B2" s="1806" t="s">
        <v>2987</v>
      </c>
      <c r="C2" s="1807"/>
      <c r="D2" s="1807"/>
      <c r="E2" s="1808"/>
    </row>
    <row r="3" spans="2:5">
      <c r="B3" s="1809" t="s">
        <v>4977</v>
      </c>
      <c r="C3" s="1810"/>
      <c r="D3" s="1810"/>
      <c r="E3" s="1811"/>
    </row>
    <row r="4" spans="2:5">
      <c r="B4" s="1947"/>
      <c r="C4" s="1948"/>
      <c r="D4" s="1948"/>
      <c r="E4" s="1949"/>
    </row>
    <row r="5" spans="2:5" ht="13.5" thickBot="1">
      <c r="B5" s="1815" t="s">
        <v>4865</v>
      </c>
      <c r="C5" s="1816"/>
      <c r="D5" s="1816"/>
      <c r="E5" s="1817"/>
    </row>
    <row r="6" spans="2:5">
      <c r="B6" s="1818" t="s">
        <v>4866</v>
      </c>
      <c r="C6" s="1225" t="s">
        <v>4978</v>
      </c>
      <c r="D6" s="1823" t="s">
        <v>236</v>
      </c>
      <c r="E6" s="1225" t="s">
        <v>4979</v>
      </c>
    </row>
    <row r="7" spans="2:5" ht="13.5" thickBot="1">
      <c r="B7" s="1819"/>
      <c r="C7" s="1062" t="s">
        <v>4980</v>
      </c>
      <c r="D7" s="1824"/>
      <c r="E7" s="1062" t="s">
        <v>4797</v>
      </c>
    </row>
    <row r="8" spans="2:5">
      <c r="B8" s="1201" t="s">
        <v>4981</v>
      </c>
      <c r="C8" s="1208">
        <f>SUM(C9:C11)</f>
        <v>104709875.48973811</v>
      </c>
      <c r="D8" s="1208">
        <f t="shared" ref="D8:E8" si="0">SUM(D9:D11)</f>
        <v>106238739.84000002</v>
      </c>
      <c r="E8" s="1208">
        <f t="shared" si="0"/>
        <v>106238739.84000002</v>
      </c>
    </row>
    <row r="9" spans="2:5">
      <c r="B9" s="1210" t="s">
        <v>4982</v>
      </c>
      <c r="C9" s="1211">
        <f>+'Post Fiscal'!C9</f>
        <v>104709875.48973811</v>
      </c>
      <c r="D9" s="1211">
        <f>+'Post Fiscal'!D9</f>
        <v>106238739.84000002</v>
      </c>
      <c r="E9" s="1211">
        <f>+'Post Fiscal'!E9</f>
        <v>106238739.84000002</v>
      </c>
    </row>
    <row r="10" spans="2:5">
      <c r="B10" s="1210" t="s">
        <v>4983</v>
      </c>
      <c r="C10" s="1211">
        <v>0</v>
      </c>
      <c r="D10" s="1211">
        <v>0</v>
      </c>
      <c r="E10" s="1211">
        <v>0</v>
      </c>
    </row>
    <row r="11" spans="2:5">
      <c r="B11" s="1210" t="s">
        <v>4984</v>
      </c>
      <c r="C11" s="1211">
        <v>0</v>
      </c>
      <c r="D11" s="1211">
        <v>0</v>
      </c>
      <c r="E11" s="1211">
        <v>0</v>
      </c>
    </row>
    <row r="12" spans="2:5" ht="13.5">
      <c r="B12" s="1201" t="s">
        <v>4985</v>
      </c>
      <c r="C12" s="1208">
        <f>SUM(C13:C14)</f>
        <v>140943773.41649699</v>
      </c>
      <c r="D12" s="1208">
        <f t="shared" ref="D12:E12" si="1">SUM(D13:D14)</f>
        <v>52183974.449999996</v>
      </c>
      <c r="E12" s="1208">
        <f t="shared" si="1"/>
        <v>52183974.449999996</v>
      </c>
    </row>
    <row r="13" spans="2:5" ht="24">
      <c r="B13" s="1210" t="s">
        <v>4986</v>
      </c>
      <c r="C13" s="1211">
        <f>+'Post Fiscal'!C13</f>
        <v>140943773.41649699</v>
      </c>
      <c r="D13" s="1211">
        <f>+'Post Fiscal'!D13</f>
        <v>52183974.449999996</v>
      </c>
      <c r="E13" s="1211">
        <f>+'Post Fiscal'!E13</f>
        <v>52183974.449999996</v>
      </c>
    </row>
    <row r="14" spans="2:5" ht="24">
      <c r="B14" s="1210" t="s">
        <v>4987</v>
      </c>
      <c r="C14" s="1211">
        <v>0</v>
      </c>
      <c r="D14" s="1211">
        <v>0</v>
      </c>
      <c r="E14" s="1211">
        <v>0</v>
      </c>
    </row>
    <row r="15" spans="2:5">
      <c r="B15" s="1201" t="s">
        <v>4988</v>
      </c>
      <c r="C15" s="1226">
        <f>SUM(C16:C17)</f>
        <v>0</v>
      </c>
      <c r="D15" s="1208">
        <f t="shared" ref="D15:E15" si="2">SUM(D16:D17)</f>
        <v>0</v>
      </c>
      <c r="E15" s="1208">
        <f t="shared" si="2"/>
        <v>0</v>
      </c>
    </row>
    <row r="16" spans="2:5" ht="24">
      <c r="B16" s="1210" t="s">
        <v>4989</v>
      </c>
      <c r="C16" s="1227">
        <v>0</v>
      </c>
      <c r="D16" s="1211">
        <v>0</v>
      </c>
      <c r="E16" s="1211">
        <v>0</v>
      </c>
    </row>
    <row r="17" spans="2:5" ht="24">
      <c r="B17" s="1210" t="s">
        <v>4990</v>
      </c>
      <c r="C17" s="1227">
        <v>0</v>
      </c>
      <c r="D17" s="1211">
        <v>0</v>
      </c>
      <c r="E17" s="1211">
        <v>0</v>
      </c>
    </row>
    <row r="18" spans="2:5">
      <c r="B18" s="1201" t="s">
        <v>4991</v>
      </c>
      <c r="C18" s="1208">
        <f>C8-C12+C15</f>
        <v>-36233897.926758885</v>
      </c>
      <c r="D18" s="1208">
        <f t="shared" ref="D18:E18" si="3">D8-D12+D15</f>
        <v>54054765.390000023</v>
      </c>
      <c r="E18" s="1208">
        <f t="shared" si="3"/>
        <v>54054765.390000023</v>
      </c>
    </row>
    <row r="19" spans="2:5" ht="24">
      <c r="B19" s="1201" t="s">
        <v>4992</v>
      </c>
      <c r="C19" s="1208">
        <f>C18-C11</f>
        <v>-36233897.926758885</v>
      </c>
      <c r="D19" s="1208">
        <f t="shared" ref="D19:E19" si="4">D18-D11</f>
        <v>54054765.390000023</v>
      </c>
      <c r="E19" s="1208">
        <f t="shared" si="4"/>
        <v>54054765.390000023</v>
      </c>
    </row>
    <row r="20" spans="2:5" ht="24.75" thickBot="1">
      <c r="B20" s="1228" t="s">
        <v>4993</v>
      </c>
      <c r="C20" s="1229">
        <f>C19-C15</f>
        <v>-36233897.926758885</v>
      </c>
      <c r="D20" s="1229">
        <f t="shared" ref="D20:E20" si="5">D19-D15</f>
        <v>54054765.390000023</v>
      </c>
      <c r="E20" s="1229">
        <f t="shared" si="5"/>
        <v>54054765.390000023</v>
      </c>
    </row>
    <row r="21" spans="2:5">
      <c r="B21" s="1230"/>
      <c r="C21" s="1231"/>
      <c r="D21" s="1231"/>
      <c r="E21" s="1231"/>
    </row>
    <row r="22" spans="2:5" ht="15" customHeight="1" thickBot="1">
      <c r="B22" s="1232"/>
      <c r="C22" s="1233"/>
      <c r="D22" s="1233"/>
      <c r="E22" s="1233"/>
    </row>
    <row r="23" spans="2:5" ht="13.5" thickBot="1">
      <c r="B23" s="1133" t="s">
        <v>230</v>
      </c>
      <c r="C23" s="1064" t="s">
        <v>817</v>
      </c>
      <c r="D23" s="1064" t="s">
        <v>236</v>
      </c>
      <c r="E23" s="1119" t="s">
        <v>819</v>
      </c>
    </row>
    <row r="24" spans="2:5" ht="21" customHeight="1">
      <c r="B24" s="1201" t="s">
        <v>4994</v>
      </c>
      <c r="C24" s="1208">
        <f>SUM(C25:C26)</f>
        <v>0</v>
      </c>
      <c r="D24" s="1208">
        <f t="shared" ref="D24:E24" si="6">SUM(D25:D26)</f>
        <v>0</v>
      </c>
      <c r="E24" s="1208">
        <f t="shared" si="6"/>
        <v>0</v>
      </c>
    </row>
    <row r="25" spans="2:5" ht="24">
      <c r="B25" s="1234" t="s">
        <v>4995</v>
      </c>
      <c r="C25" s="1211">
        <v>0</v>
      </c>
      <c r="D25" s="1211">
        <v>0</v>
      </c>
      <c r="E25" s="1211">
        <v>0</v>
      </c>
    </row>
    <row r="26" spans="2:5" ht="24">
      <c r="B26" s="1234" t="s">
        <v>4996</v>
      </c>
      <c r="C26" s="1211">
        <v>0</v>
      </c>
      <c r="D26" s="1211">
        <v>0</v>
      </c>
      <c r="E26" s="1211">
        <v>0</v>
      </c>
    </row>
    <row r="27" spans="2:5">
      <c r="B27" s="1201" t="s">
        <v>4997</v>
      </c>
      <c r="C27" s="1208">
        <f>C20+C24</f>
        <v>-36233897.926758885</v>
      </c>
      <c r="D27" s="1208">
        <f t="shared" ref="D27:E27" si="7">D20+D24</f>
        <v>54054765.390000023</v>
      </c>
      <c r="E27" s="1208">
        <f t="shared" si="7"/>
        <v>54054765.390000023</v>
      </c>
    </row>
    <row r="28" spans="2:5" ht="12.75" customHeight="1" thickBot="1">
      <c r="B28" s="1235"/>
      <c r="C28" s="1236"/>
      <c r="D28" s="1236"/>
      <c r="E28" s="1236"/>
    </row>
    <row r="29" spans="2:5">
      <c r="B29" s="1237"/>
      <c r="C29" s="1088"/>
      <c r="D29" s="1088"/>
      <c r="E29" s="1088"/>
    </row>
    <row r="30" spans="2:5" ht="15" customHeight="1" thickBot="1">
      <c r="B30" s="1232"/>
      <c r="C30" s="1233"/>
      <c r="D30" s="1233"/>
      <c r="E30" s="1233"/>
    </row>
    <row r="31" spans="2:5">
      <c r="B31" s="1818" t="s">
        <v>230</v>
      </c>
      <c r="C31" s="1818" t="s">
        <v>4998</v>
      </c>
      <c r="D31" s="1818" t="s">
        <v>236</v>
      </c>
      <c r="E31" s="1238" t="s">
        <v>4979</v>
      </c>
    </row>
    <row r="32" spans="2:5" ht="13.5" thickBot="1">
      <c r="B32" s="1819"/>
      <c r="C32" s="1819"/>
      <c r="D32" s="1819"/>
      <c r="E32" s="1239" t="s">
        <v>819</v>
      </c>
    </row>
    <row r="33" spans="2:5">
      <c r="B33" s="1240" t="s">
        <v>4999</v>
      </c>
      <c r="C33" s="936">
        <f>SUM(C34:C35)</f>
        <v>0</v>
      </c>
      <c r="D33" s="936">
        <f t="shared" ref="D33:E33" si="8">SUM(D34:D35)</f>
        <v>0</v>
      </c>
      <c r="E33" s="936">
        <f t="shared" si="8"/>
        <v>0</v>
      </c>
    </row>
    <row r="34" spans="2:5" ht="24">
      <c r="B34" s="1234" t="s">
        <v>5000</v>
      </c>
      <c r="C34" s="939">
        <v>0</v>
      </c>
      <c r="D34" s="939">
        <v>0</v>
      </c>
      <c r="E34" s="939">
        <v>0</v>
      </c>
    </row>
    <row r="35" spans="2:5" ht="24">
      <c r="B35" s="1234" t="s">
        <v>5001</v>
      </c>
      <c r="C35" s="939">
        <v>0</v>
      </c>
      <c r="D35" s="939">
        <v>0</v>
      </c>
      <c r="E35" s="939">
        <v>0</v>
      </c>
    </row>
    <row r="36" spans="2:5">
      <c r="B36" s="1201" t="s">
        <v>5002</v>
      </c>
      <c r="C36" s="936">
        <f>SUM(C37:C38)</f>
        <v>0</v>
      </c>
      <c r="D36" s="936">
        <f t="shared" ref="D36:E36" si="9">SUM(D37:D38)</f>
        <v>0</v>
      </c>
      <c r="E36" s="936">
        <f t="shared" si="9"/>
        <v>0</v>
      </c>
    </row>
    <row r="37" spans="2:5" ht="22.9" customHeight="1">
      <c r="B37" s="1234" t="s">
        <v>5003</v>
      </c>
      <c r="C37" s="939">
        <v>0</v>
      </c>
      <c r="D37" s="939">
        <v>0</v>
      </c>
      <c r="E37" s="939">
        <v>0</v>
      </c>
    </row>
    <row r="38" spans="2:5" ht="25.9" customHeight="1">
      <c r="B38" s="1234" t="s">
        <v>5004</v>
      </c>
      <c r="C38" s="939">
        <v>0</v>
      </c>
      <c r="D38" s="939">
        <v>0</v>
      </c>
      <c r="E38" s="939">
        <v>0</v>
      </c>
    </row>
    <row r="39" spans="2:5" ht="15" customHeight="1">
      <c r="B39" s="1950" t="s">
        <v>5005</v>
      </c>
      <c r="C39" s="1952">
        <f>C33-C36</f>
        <v>0</v>
      </c>
      <c r="D39" s="1952">
        <f t="shared" ref="D39:E39" si="10">D33-D36</f>
        <v>0</v>
      </c>
      <c r="E39" s="1952">
        <f t="shared" si="10"/>
        <v>0</v>
      </c>
    </row>
    <row r="40" spans="2:5" ht="13.5" thickBot="1">
      <c r="B40" s="1951"/>
      <c r="C40" s="1953"/>
      <c r="D40" s="1953"/>
      <c r="E40" s="1953"/>
    </row>
    <row r="41" spans="2:5" ht="15" customHeight="1">
      <c r="B41" s="1241"/>
      <c r="C41" s="1190"/>
      <c r="D41" s="1190"/>
      <c r="E41" s="1190"/>
    </row>
    <row r="42" spans="2:5" ht="15" customHeight="1" thickBot="1">
      <c r="B42" s="1232"/>
      <c r="C42" s="1233"/>
      <c r="D42" s="1233"/>
      <c r="E42" s="1233"/>
    </row>
    <row r="43" spans="2:5">
      <c r="B43" s="1818" t="s">
        <v>230</v>
      </c>
      <c r="C43" s="1238" t="s">
        <v>4978</v>
      </c>
      <c r="D43" s="1818" t="s">
        <v>236</v>
      </c>
      <c r="E43" s="1238" t="s">
        <v>4979</v>
      </c>
    </row>
    <row r="44" spans="2:5" ht="13.5" thickBot="1">
      <c r="B44" s="1819"/>
      <c r="C44" s="1239" t="s">
        <v>817</v>
      </c>
      <c r="D44" s="1819"/>
      <c r="E44" s="1239" t="s">
        <v>819</v>
      </c>
    </row>
    <row r="45" spans="2:5">
      <c r="B45" s="1207" t="s">
        <v>5006</v>
      </c>
      <c r="C45" s="1242">
        <f>C9</f>
        <v>104709875.48973811</v>
      </c>
      <c r="D45" s="939">
        <f>+D9</f>
        <v>106238739.84000002</v>
      </c>
      <c r="E45" s="939">
        <f>+E9</f>
        <v>106238739.84000002</v>
      </c>
    </row>
    <row r="46" spans="2:5" ht="24">
      <c r="B46" s="1207" t="s">
        <v>5007</v>
      </c>
      <c r="C46" s="1242">
        <f>C34-C37</f>
        <v>0</v>
      </c>
      <c r="D46" s="1242">
        <f t="shared" ref="D46:E46" si="11">D34-D37</f>
        <v>0</v>
      </c>
      <c r="E46" s="1242">
        <f t="shared" si="11"/>
        <v>0</v>
      </c>
    </row>
    <row r="47" spans="2:5" ht="24">
      <c r="B47" s="1210" t="s">
        <v>5000</v>
      </c>
      <c r="C47" s="1242">
        <f>C34</f>
        <v>0</v>
      </c>
      <c r="D47" s="1242">
        <f t="shared" ref="D47:E47" si="12">D34</f>
        <v>0</v>
      </c>
      <c r="E47" s="1242">
        <f t="shared" si="12"/>
        <v>0</v>
      </c>
    </row>
    <row r="48" spans="2:5" ht="26.45" customHeight="1">
      <c r="B48" s="1210" t="s">
        <v>5003</v>
      </c>
      <c r="C48" s="1242">
        <f>C37</f>
        <v>0</v>
      </c>
      <c r="D48" s="1242">
        <f t="shared" ref="D48:E48" si="13">D37</f>
        <v>0</v>
      </c>
      <c r="E48" s="1242">
        <f t="shared" si="13"/>
        <v>0</v>
      </c>
    </row>
    <row r="49" spans="2:6" ht="24">
      <c r="B49" s="1207" t="s">
        <v>4986</v>
      </c>
      <c r="C49" s="1242">
        <f>C13</f>
        <v>140943773.41649699</v>
      </c>
      <c r="D49" s="1242">
        <f t="shared" ref="D49:E49" si="14">D13</f>
        <v>52183974.449999996</v>
      </c>
      <c r="E49" s="1242">
        <f t="shared" si="14"/>
        <v>52183974.449999996</v>
      </c>
    </row>
    <row r="50" spans="2:6" ht="24">
      <c r="B50" s="1207" t="s">
        <v>4989</v>
      </c>
      <c r="C50" s="1243">
        <f>C16</f>
        <v>0</v>
      </c>
      <c r="D50" s="1242">
        <f t="shared" ref="D50:E50" si="15">D16</f>
        <v>0</v>
      </c>
      <c r="E50" s="1242">
        <f t="shared" si="15"/>
        <v>0</v>
      </c>
    </row>
    <row r="51" spans="2:6" ht="24">
      <c r="B51" s="1201" t="s">
        <v>5008</v>
      </c>
      <c r="C51" s="936">
        <f>C45+C46-C49+C50</f>
        <v>-36233897.926758885</v>
      </c>
      <c r="D51" s="936">
        <f t="shared" ref="D51:E51" si="16">D45+D46-D49+D50</f>
        <v>54054765.390000023</v>
      </c>
      <c r="E51" s="936">
        <f t="shared" si="16"/>
        <v>54054765.390000023</v>
      </c>
      <c r="F51" s="765"/>
    </row>
    <row r="52" spans="2:6" ht="24.75" thickBot="1">
      <c r="B52" s="1201" t="s">
        <v>5009</v>
      </c>
      <c r="C52" s="936">
        <f>C51-C46</f>
        <v>-36233897.926758885</v>
      </c>
      <c r="D52" s="936">
        <f t="shared" ref="D52:E52" si="17">D51-D46</f>
        <v>54054765.390000023</v>
      </c>
      <c r="E52" s="936">
        <f t="shared" si="17"/>
        <v>54054765.390000023</v>
      </c>
    </row>
    <row r="53" spans="2:6" ht="15" customHeight="1">
      <c r="B53" s="1237"/>
      <c r="C53" s="1067"/>
      <c r="D53" s="1067"/>
      <c r="E53" s="1067"/>
    </row>
    <row r="54" spans="2:6" ht="15" customHeight="1" thickBot="1">
      <c r="B54" s="1232"/>
      <c r="C54" s="1233"/>
      <c r="D54" s="1233"/>
      <c r="E54" s="1233"/>
    </row>
    <row r="55" spans="2:6">
      <c r="B55" s="1818" t="s">
        <v>230</v>
      </c>
      <c r="C55" s="1818" t="s">
        <v>4998</v>
      </c>
      <c r="D55" s="1818" t="s">
        <v>236</v>
      </c>
      <c r="E55" s="1238" t="s">
        <v>4979</v>
      </c>
    </row>
    <row r="56" spans="2:6" ht="13.5" thickBot="1">
      <c r="B56" s="1819"/>
      <c r="C56" s="1819"/>
      <c r="D56" s="1819"/>
      <c r="E56" s="1239" t="s">
        <v>819</v>
      </c>
    </row>
    <row r="57" spans="2:6">
      <c r="B57" s="1207" t="s">
        <v>4983</v>
      </c>
      <c r="C57" s="1242">
        <f>C10</f>
        <v>0</v>
      </c>
      <c r="D57" s="1242">
        <f t="shared" ref="D57:E57" si="18">D10</f>
        <v>0</v>
      </c>
      <c r="E57" s="1242">
        <f t="shared" si="18"/>
        <v>0</v>
      </c>
    </row>
    <row r="58" spans="2:6" ht="24">
      <c r="B58" s="1207" t="s">
        <v>5010</v>
      </c>
      <c r="C58" s="1242">
        <f>C59-C60</f>
        <v>0</v>
      </c>
      <c r="D58" s="1242">
        <f t="shared" ref="D58:E58" si="19">D59-D60</f>
        <v>0</v>
      </c>
      <c r="E58" s="1242">
        <f t="shared" si="19"/>
        <v>0</v>
      </c>
    </row>
    <row r="59" spans="2:6" ht="24">
      <c r="B59" s="1234" t="s">
        <v>5001</v>
      </c>
      <c r="C59" s="1242">
        <f>C35</f>
        <v>0</v>
      </c>
      <c r="D59" s="1242">
        <f t="shared" ref="D59:E59" si="20">D35</f>
        <v>0</v>
      </c>
      <c r="E59" s="1242">
        <f t="shared" si="20"/>
        <v>0</v>
      </c>
    </row>
    <row r="60" spans="2:6" ht="24.75" customHeight="1">
      <c r="B60" s="1234" t="s">
        <v>5004</v>
      </c>
      <c r="C60" s="1242">
        <f>C38</f>
        <v>0</v>
      </c>
      <c r="D60" s="1242">
        <f t="shared" ref="D60:E60" si="21">D38</f>
        <v>0</v>
      </c>
      <c r="E60" s="1242">
        <f t="shared" si="21"/>
        <v>0</v>
      </c>
    </row>
    <row r="61" spans="2:6" ht="24">
      <c r="B61" s="1207" t="s">
        <v>5011</v>
      </c>
      <c r="C61" s="1242">
        <f>C14</f>
        <v>0</v>
      </c>
      <c r="D61" s="1242">
        <f t="shared" ref="D61:E61" si="22">D14</f>
        <v>0</v>
      </c>
      <c r="E61" s="1242">
        <f t="shared" si="22"/>
        <v>0</v>
      </c>
    </row>
    <row r="62" spans="2:6" ht="24">
      <c r="B62" s="1207" t="s">
        <v>4990</v>
      </c>
      <c r="C62" s="1243">
        <f>C17</f>
        <v>0</v>
      </c>
      <c r="D62" s="1242">
        <f t="shared" ref="D62:E62" si="23">D17</f>
        <v>0</v>
      </c>
      <c r="E62" s="1242">
        <f t="shared" si="23"/>
        <v>0</v>
      </c>
    </row>
    <row r="63" spans="2:6" ht="24">
      <c r="B63" s="1201" t="s">
        <v>5012</v>
      </c>
      <c r="C63" s="936">
        <f>C57+C58-C61+C62</f>
        <v>0</v>
      </c>
      <c r="D63" s="936">
        <f t="shared" ref="D63:E63" si="24">D57+D58-D61+D62</f>
        <v>0</v>
      </c>
      <c r="E63" s="936">
        <f t="shared" si="24"/>
        <v>0</v>
      </c>
    </row>
    <row r="64" spans="2:6" ht="24.75" thickBot="1">
      <c r="B64" s="1228" t="s">
        <v>5013</v>
      </c>
      <c r="C64" s="1244">
        <f>C63-C58</f>
        <v>0</v>
      </c>
      <c r="D64" s="1244">
        <f t="shared" ref="D64:E64" si="25">D63-D58</f>
        <v>0</v>
      </c>
      <c r="E64" s="1244">
        <f t="shared" si="25"/>
        <v>0</v>
      </c>
    </row>
    <row r="79" spans="18:18" ht="15">
      <c r="R79" s="858"/>
    </row>
  </sheetData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F7FF-DB1C-4F80-A2F2-EBC45F3332AF}">
  <dimension ref="B2:G39"/>
  <sheetViews>
    <sheetView topLeftCell="A19" workbookViewId="0">
      <selection activeCell="F26" sqref="F26:G29"/>
    </sheetView>
  </sheetViews>
  <sheetFormatPr baseColWidth="10" defaultColWidth="11.42578125" defaultRowHeight="1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2" spans="2:7">
      <c r="B2" s="1769" t="s">
        <v>2987</v>
      </c>
      <c r="C2" s="1770"/>
      <c r="D2" s="1770"/>
      <c r="E2" s="1770"/>
      <c r="F2" s="1770"/>
      <c r="G2" s="1771"/>
    </row>
    <row r="3" spans="2:7">
      <c r="B3" s="1772" t="s">
        <v>4858</v>
      </c>
      <c r="C3" s="1658"/>
      <c r="D3" s="1658"/>
      <c r="E3" s="1658"/>
      <c r="F3" s="1658"/>
      <c r="G3" s="1773"/>
    </row>
    <row r="4" spans="2:7">
      <c r="B4" s="1774"/>
      <c r="C4" s="1775"/>
      <c r="D4" s="1775"/>
      <c r="E4" s="1775"/>
      <c r="F4" s="1775"/>
      <c r="G4" s="1776"/>
    </row>
    <row r="5" spans="2:7" ht="42" customHeight="1">
      <c r="B5" s="1954" t="s">
        <v>230</v>
      </c>
      <c r="C5" s="1165" t="s">
        <v>791</v>
      </c>
      <c r="D5" s="997" t="s">
        <v>792</v>
      </c>
      <c r="E5" s="996" t="s">
        <v>793</v>
      </c>
      <c r="F5" s="996" t="s">
        <v>236</v>
      </c>
      <c r="G5" s="996" t="s">
        <v>794</v>
      </c>
    </row>
    <row r="6" spans="2:7">
      <c r="B6" s="1955"/>
      <c r="C6" s="1018" t="s">
        <v>4779</v>
      </c>
      <c r="D6" s="1166" t="s">
        <v>4780</v>
      </c>
      <c r="E6" s="1167" t="s">
        <v>797</v>
      </c>
      <c r="F6" s="1167" t="s">
        <v>4781</v>
      </c>
      <c r="G6" s="1167" t="s">
        <v>4782</v>
      </c>
    </row>
    <row r="7" spans="2:7">
      <c r="B7" s="1168"/>
      <c r="C7" s="1169"/>
      <c r="D7" s="1170"/>
      <c r="E7" s="1171"/>
      <c r="F7" s="1171"/>
      <c r="G7" s="1171"/>
    </row>
    <row r="8" spans="2:7">
      <c r="B8" s="1172" t="s">
        <v>4859</v>
      </c>
      <c r="C8" s="1173"/>
      <c r="D8" s="1003"/>
      <c r="E8" s="1005"/>
      <c r="F8" s="1005"/>
      <c r="G8" s="1005"/>
    </row>
    <row r="9" spans="2:7" ht="12" customHeight="1">
      <c r="B9" s="1174" t="s">
        <v>615</v>
      </c>
      <c r="C9" s="1175">
        <v>0</v>
      </c>
      <c r="D9" s="1057">
        <v>0</v>
      </c>
      <c r="E9" s="1005">
        <f t="shared" ref="E9:E18" si="0">C9+D9</f>
        <v>0</v>
      </c>
      <c r="F9" s="999">
        <v>0</v>
      </c>
      <c r="G9" s="999">
        <v>0</v>
      </c>
    </row>
    <row r="10" spans="2:7">
      <c r="B10" s="1174" t="s">
        <v>766</v>
      </c>
      <c r="C10" s="1175">
        <v>0</v>
      </c>
      <c r="D10" s="1057">
        <v>0</v>
      </c>
      <c r="E10" s="1005">
        <f t="shared" si="0"/>
        <v>0</v>
      </c>
      <c r="F10" s="999">
        <v>0</v>
      </c>
      <c r="G10" s="999">
        <v>0</v>
      </c>
    </row>
    <row r="11" spans="2:7">
      <c r="B11" s="1174" t="s">
        <v>618</v>
      </c>
      <c r="C11" s="1175">
        <v>0</v>
      </c>
      <c r="D11" s="1057">
        <v>0</v>
      </c>
      <c r="E11" s="1005">
        <f t="shared" si="0"/>
        <v>0</v>
      </c>
      <c r="F11" s="999">
        <v>0</v>
      </c>
      <c r="G11" s="999">
        <v>0</v>
      </c>
    </row>
    <row r="12" spans="2:7">
      <c r="B12" s="1174" t="s">
        <v>619</v>
      </c>
      <c r="C12" s="1175">
        <v>0</v>
      </c>
      <c r="D12" s="1057">
        <v>0</v>
      </c>
      <c r="E12" s="1005">
        <f t="shared" si="0"/>
        <v>0</v>
      </c>
      <c r="F12" s="999"/>
      <c r="G12" s="999">
        <v>0</v>
      </c>
    </row>
    <row r="13" spans="2:7">
      <c r="B13" s="1174" t="s">
        <v>801</v>
      </c>
      <c r="C13" s="1175">
        <v>0</v>
      </c>
      <c r="D13" s="1057">
        <v>0</v>
      </c>
      <c r="E13" s="1005">
        <f t="shared" si="0"/>
        <v>0</v>
      </c>
      <c r="F13" s="999">
        <v>0</v>
      </c>
      <c r="G13" s="999">
        <v>0</v>
      </c>
    </row>
    <row r="14" spans="2:7">
      <c r="B14" s="1174" t="s">
        <v>804</v>
      </c>
      <c r="C14" s="1175">
        <v>0</v>
      </c>
      <c r="D14" s="1057">
        <v>0</v>
      </c>
      <c r="E14" s="1005">
        <f t="shared" si="0"/>
        <v>0</v>
      </c>
      <c r="F14" s="999">
        <v>0</v>
      </c>
      <c r="G14" s="999">
        <v>0</v>
      </c>
    </row>
    <row r="15" spans="2:7" ht="24" customHeight="1">
      <c r="B15" s="1176" t="s">
        <v>4784</v>
      </c>
      <c r="C15" s="1175">
        <f>+'13 ri sif'!C14</f>
        <v>101100153.74161573</v>
      </c>
      <c r="D15" s="1057">
        <f>+'13 ri sif'!D14</f>
        <v>1891745</v>
      </c>
      <c r="E15" s="1005">
        <f t="shared" si="0"/>
        <v>102991898.74161573</v>
      </c>
      <c r="F15" s="999">
        <f>+'13 ri sif'!F14</f>
        <v>98034207.450000018</v>
      </c>
      <c r="G15" s="999">
        <f>+'13 ri sif'!G14</f>
        <v>98034207.450000018</v>
      </c>
    </row>
    <row r="16" spans="2:7" ht="36" customHeight="1">
      <c r="B16" s="1176" t="s">
        <v>4728</v>
      </c>
      <c r="C16" s="1175">
        <v>0</v>
      </c>
      <c r="D16" s="1057">
        <v>0</v>
      </c>
      <c r="E16" s="1005">
        <f t="shared" si="0"/>
        <v>0</v>
      </c>
      <c r="F16" s="999">
        <v>0</v>
      </c>
      <c r="G16" s="999">
        <v>0</v>
      </c>
    </row>
    <row r="17" spans="2:7" ht="24" customHeight="1">
      <c r="B17" s="1176" t="s">
        <v>4729</v>
      </c>
      <c r="C17" s="1175">
        <v>0</v>
      </c>
      <c r="D17" s="1057">
        <v>0</v>
      </c>
      <c r="E17" s="1005">
        <f t="shared" si="0"/>
        <v>0</v>
      </c>
      <c r="F17" s="999">
        <v>0</v>
      </c>
      <c r="G17" s="999">
        <v>0</v>
      </c>
    </row>
    <row r="18" spans="2:7" ht="24" customHeight="1">
      <c r="B18" s="1174" t="s">
        <v>807</v>
      </c>
      <c r="C18" s="999">
        <f>'13 ri sif'!C17</f>
        <v>3609721.7481223745</v>
      </c>
      <c r="D18" s="999">
        <f>'13 ri sif'!D17</f>
        <v>4594810</v>
      </c>
      <c r="E18" s="1005">
        <f t="shared" si="0"/>
        <v>8204531.7481223745</v>
      </c>
      <c r="F18" s="999">
        <f>'13 ri sif'!F17</f>
        <v>8204532.3900000006</v>
      </c>
      <c r="G18" s="999">
        <f>'13 ri sif'!G17</f>
        <v>8204532.3900000006</v>
      </c>
    </row>
    <row r="19" spans="2:7">
      <c r="B19" s="1177"/>
      <c r="C19" s="1005"/>
      <c r="D19" s="1003"/>
      <c r="E19" s="1005"/>
      <c r="F19" s="1005"/>
      <c r="G19" s="1005"/>
    </row>
    <row r="20" spans="2:7">
      <c r="B20" s="1178" t="s">
        <v>4860</v>
      </c>
      <c r="C20" s="1179">
        <f>SUM(C9:C18)</f>
        <v>104709875.48973811</v>
      </c>
      <c r="D20" s="1180">
        <f>SUM(D9:D18)</f>
        <v>6486555</v>
      </c>
      <c r="E20" s="1179">
        <f>C20+D20</f>
        <v>111196430.48973811</v>
      </c>
      <c r="F20" s="1179">
        <f>SUM(F9:F18)</f>
        <v>106238739.84000002</v>
      </c>
      <c r="G20" s="1179">
        <f>SUM(G9:G18)</f>
        <v>106238739.84000002</v>
      </c>
    </row>
    <row r="21" spans="2:7">
      <c r="B21" s="1178"/>
      <c r="C21" s="1179"/>
      <c r="D21" s="1180"/>
      <c r="E21" s="1179"/>
      <c r="F21" s="1179"/>
      <c r="G21" s="1179"/>
    </row>
    <row r="22" spans="2:7" ht="39" customHeight="1">
      <c r="B22" s="1954" t="s">
        <v>230</v>
      </c>
      <c r="C22" s="1165" t="s">
        <v>817</v>
      </c>
      <c r="D22" s="997" t="s">
        <v>792</v>
      </c>
      <c r="E22" s="996" t="s">
        <v>793</v>
      </c>
      <c r="F22" s="996" t="s">
        <v>236</v>
      </c>
      <c r="G22" s="996" t="s">
        <v>4797</v>
      </c>
    </row>
    <row r="23" spans="2:7">
      <c r="B23" s="1955"/>
      <c r="C23" s="1018" t="s">
        <v>4779</v>
      </c>
      <c r="D23" s="1166" t="s">
        <v>4780</v>
      </c>
      <c r="E23" s="1167" t="s">
        <v>797</v>
      </c>
      <c r="F23" s="1167" t="s">
        <v>4781</v>
      </c>
      <c r="G23" s="1167" t="s">
        <v>4782</v>
      </c>
    </row>
    <row r="24" spans="2:7" s="3" customFormat="1">
      <c r="B24" s="1181"/>
      <c r="C24" s="1005"/>
      <c r="D24" s="1003"/>
      <c r="E24" s="1005"/>
      <c r="F24" s="1005"/>
      <c r="G24" s="1005"/>
    </row>
    <row r="25" spans="2:7" ht="12" customHeight="1">
      <c r="B25" s="1182" t="s">
        <v>75</v>
      </c>
      <c r="C25" s="1005"/>
      <c r="D25" s="1003"/>
      <c r="E25" s="1005"/>
      <c r="F25" s="1005"/>
      <c r="G25" s="1005"/>
    </row>
    <row r="26" spans="2:7" ht="12" customHeight="1">
      <c r="B26" s="1181" t="s">
        <v>4810</v>
      </c>
      <c r="C26" s="999">
        <f>+COG!D10</f>
        <v>19299621.387999997</v>
      </c>
      <c r="D26" s="1057">
        <f>+COG!E10</f>
        <v>0</v>
      </c>
      <c r="E26" s="1005">
        <f t="shared" ref="E26:E34" si="1">C26+D26</f>
        <v>19299621.387999997</v>
      </c>
      <c r="F26" s="999">
        <f>+COG!G10</f>
        <v>15074778.560000001</v>
      </c>
      <c r="G26" s="999">
        <f>+COG!H10</f>
        <v>15074778.560000001</v>
      </c>
    </row>
    <row r="27" spans="2:7" ht="12" customHeight="1">
      <c r="B27" s="1181" t="s">
        <v>167</v>
      </c>
      <c r="C27" s="999">
        <f>+COG!D15</f>
        <v>2153010.4640000006</v>
      </c>
      <c r="D27" s="1057">
        <f>+COG!E15</f>
        <v>0</v>
      </c>
      <c r="E27" s="1005">
        <f t="shared" si="1"/>
        <v>2153010.4640000006</v>
      </c>
      <c r="F27" s="999">
        <f>+COG!G15</f>
        <v>862793.71</v>
      </c>
      <c r="G27" s="999">
        <f>+COG!H15</f>
        <v>862793.71</v>
      </c>
    </row>
    <row r="28" spans="2:7">
      <c r="B28" s="1181" t="s">
        <v>168</v>
      </c>
      <c r="C28" s="999">
        <f>+COG!D20</f>
        <v>115790657.28028001</v>
      </c>
      <c r="D28" s="1057">
        <f>+COG!E20</f>
        <v>2683490</v>
      </c>
      <c r="E28" s="1005">
        <f t="shared" si="1"/>
        <v>118474147.28028001</v>
      </c>
      <c r="F28" s="999">
        <f>+COG!G20</f>
        <v>35452187.299999997</v>
      </c>
      <c r="G28" s="999">
        <f>+COG!H20</f>
        <v>35452187.299999997</v>
      </c>
    </row>
    <row r="29" spans="2:7">
      <c r="B29" s="1181" t="s">
        <v>4821</v>
      </c>
      <c r="C29" s="999">
        <f>+COG!D29</f>
        <v>1016994.2842170001</v>
      </c>
      <c r="D29" s="1057">
        <f>+COG!E29</f>
        <v>0</v>
      </c>
      <c r="E29" s="1005">
        <f t="shared" si="1"/>
        <v>1016994.2842170001</v>
      </c>
      <c r="F29" s="999">
        <f>+COG!G29</f>
        <v>794214.88000000012</v>
      </c>
      <c r="G29" s="999">
        <f>+COG!H29</f>
        <v>794214.88000000012</v>
      </c>
    </row>
    <row r="30" spans="2:7">
      <c r="B30" s="1181" t="s">
        <v>4823</v>
      </c>
      <c r="C30" s="999">
        <v>0</v>
      </c>
      <c r="D30" s="1057">
        <v>0</v>
      </c>
      <c r="E30" s="1005">
        <f t="shared" si="1"/>
        <v>0</v>
      </c>
      <c r="F30" s="999">
        <v>0</v>
      </c>
      <c r="G30" s="999">
        <v>0</v>
      </c>
    </row>
    <row r="31" spans="2:7">
      <c r="B31" s="1181" t="s">
        <v>4832</v>
      </c>
      <c r="C31" s="999">
        <v>0</v>
      </c>
      <c r="D31" s="1057">
        <v>0</v>
      </c>
      <c r="E31" s="1005">
        <f t="shared" si="1"/>
        <v>0</v>
      </c>
      <c r="F31" s="999">
        <v>0</v>
      </c>
      <c r="G31" s="999">
        <v>0</v>
      </c>
    </row>
    <row r="32" spans="2:7">
      <c r="B32" s="1181" t="s">
        <v>4836</v>
      </c>
      <c r="C32" s="999">
        <v>0</v>
      </c>
      <c r="D32" s="1057">
        <v>0</v>
      </c>
      <c r="E32" s="1005">
        <f t="shared" si="1"/>
        <v>0</v>
      </c>
      <c r="F32" s="999">
        <v>0</v>
      </c>
      <c r="G32" s="999">
        <v>0</v>
      </c>
    </row>
    <row r="33" spans="2:7">
      <c r="B33" s="1181" t="s">
        <v>631</v>
      </c>
      <c r="C33" s="999">
        <v>0</v>
      </c>
      <c r="D33" s="1057">
        <v>0</v>
      </c>
      <c r="E33" s="1005">
        <f t="shared" si="1"/>
        <v>0</v>
      </c>
      <c r="F33" s="999">
        <v>0</v>
      </c>
      <c r="G33" s="999">
        <v>0</v>
      </c>
    </row>
    <row r="34" spans="2:7">
      <c r="B34" s="1181" t="s">
        <v>4845</v>
      </c>
      <c r="C34" s="999">
        <v>0</v>
      </c>
      <c r="D34" s="1057">
        <v>0</v>
      </c>
      <c r="E34" s="1005">
        <f t="shared" si="1"/>
        <v>0</v>
      </c>
      <c r="F34" s="999">
        <v>0</v>
      </c>
      <c r="G34" s="999">
        <v>0</v>
      </c>
    </row>
    <row r="35" spans="2:7">
      <c r="B35" s="1181"/>
      <c r="C35" s="1005"/>
      <c r="D35" s="1003"/>
      <c r="E35" s="1005"/>
      <c r="F35" s="1003"/>
      <c r="G35" s="1005"/>
    </row>
    <row r="36" spans="2:7">
      <c r="B36" s="1183" t="s">
        <v>4861</v>
      </c>
      <c r="C36" s="1179">
        <f>SUM(C26:C34)</f>
        <v>138260283.41649699</v>
      </c>
      <c r="D36" s="1180">
        <f>SUM(D26:D34)</f>
        <v>2683490</v>
      </c>
      <c r="E36" s="1180">
        <f>SUM(E26:E34)</f>
        <v>140943773.41649699</v>
      </c>
      <c r="F36" s="1180">
        <f>SUM(F26:F34)</f>
        <v>52183974.449999996</v>
      </c>
      <c r="G36" s="1179">
        <f>SUM(G26:G34)</f>
        <v>52183974.449999996</v>
      </c>
    </row>
    <row r="37" spans="2:7" s="3" customFormat="1">
      <c r="B37" s="1007"/>
      <c r="C37" s="1005"/>
      <c r="D37" s="1003"/>
      <c r="E37" s="1005"/>
      <c r="F37" s="1003"/>
      <c r="G37" s="1184"/>
    </row>
    <row r="38" spans="2:7">
      <c r="B38" s="1058" t="s">
        <v>4862</v>
      </c>
      <c r="C38" s="1010">
        <f>C20-C36</f>
        <v>-33550407.926758885</v>
      </c>
      <c r="D38" s="1185">
        <f>D20-D36</f>
        <v>3803065</v>
      </c>
      <c r="E38" s="1010">
        <f>D38+C38</f>
        <v>-29747342.926758885</v>
      </c>
      <c r="F38" s="1010">
        <f>F20-F36</f>
        <v>54054765.390000023</v>
      </c>
      <c r="G38" s="1010">
        <f>G20-G36</f>
        <v>54054765.390000023</v>
      </c>
    </row>
    <row r="39" spans="2:7" ht="15" customHeight="1"/>
  </sheetData>
  <mergeCells count="5">
    <mergeCell ref="B2:G2"/>
    <mergeCell ref="B3:G3"/>
    <mergeCell ref="B4:G4"/>
    <mergeCell ref="B5:B6"/>
    <mergeCell ref="B22:B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E18"/>
  <sheetViews>
    <sheetView workbookViewId="0">
      <selection activeCell="B21" sqref="B21"/>
    </sheetView>
  </sheetViews>
  <sheetFormatPr baseColWidth="10" defaultRowHeight="12"/>
  <cols>
    <col min="1" max="1" width="3.140625" style="434" customWidth="1"/>
    <col min="2" max="2" width="46.5703125" style="434" customWidth="1"/>
    <col min="3" max="3" width="19.85546875" style="434" customWidth="1"/>
    <col min="4" max="4" width="19.7109375" style="434" customWidth="1"/>
    <col min="5" max="5" width="5.140625" style="157" customWidth="1"/>
    <col min="6" max="16384" width="11.42578125" style="434"/>
  </cols>
  <sheetData>
    <row r="1" spans="1:4" ht="12.75" thickBot="1">
      <c r="A1" s="157"/>
      <c r="B1" s="157"/>
      <c r="C1" s="157"/>
      <c r="D1" s="157"/>
    </row>
    <row r="2" spans="1:4">
      <c r="A2" s="157"/>
      <c r="B2" s="1956"/>
      <c r="C2" s="1957"/>
      <c r="D2" s="1958"/>
    </row>
    <row r="3" spans="1:4">
      <c r="A3" s="157"/>
      <c r="B3" s="1959" t="s">
        <v>2987</v>
      </c>
      <c r="C3" s="1960"/>
      <c r="D3" s="1961"/>
    </row>
    <row r="4" spans="1:4" ht="15.75" customHeight="1" thickBot="1">
      <c r="A4" s="157"/>
      <c r="B4" s="1962" t="s">
        <v>938</v>
      </c>
      <c r="C4" s="1963"/>
      <c r="D4" s="1964"/>
    </row>
    <row r="5" spans="1:4">
      <c r="A5" s="157"/>
      <c r="B5" s="1965" t="s">
        <v>939</v>
      </c>
      <c r="C5" s="1967" t="s">
        <v>940</v>
      </c>
      <c r="D5" s="1968"/>
    </row>
    <row r="6" spans="1:4" ht="12.75" thickBot="1">
      <c r="A6" s="157"/>
      <c r="B6" s="1966"/>
      <c r="C6" s="427" t="s">
        <v>941</v>
      </c>
      <c r="D6" s="428" t="s">
        <v>942</v>
      </c>
    </row>
    <row r="7" spans="1:4">
      <c r="A7" s="157"/>
      <c r="B7" s="429" t="s">
        <v>943</v>
      </c>
      <c r="C7" s="429" t="s">
        <v>944</v>
      </c>
      <c r="D7" s="430" t="s">
        <v>945</v>
      </c>
    </row>
    <row r="8" spans="1:4">
      <c r="A8" s="157"/>
      <c r="B8" s="429" t="s">
        <v>943</v>
      </c>
      <c r="C8" s="431" t="s">
        <v>5648</v>
      </c>
      <c r="D8" s="432" t="s">
        <v>946</v>
      </c>
    </row>
    <row r="9" spans="1:4">
      <c r="A9" s="157"/>
      <c r="B9" s="429" t="s">
        <v>943</v>
      </c>
      <c r="C9" s="431" t="s">
        <v>2984</v>
      </c>
      <c r="D9" s="431" t="s">
        <v>947</v>
      </c>
    </row>
    <row r="10" spans="1:4">
      <c r="A10" s="157"/>
      <c r="B10" s="429" t="s">
        <v>948</v>
      </c>
      <c r="C10" s="431" t="s">
        <v>2984</v>
      </c>
      <c r="D10" s="431" t="s">
        <v>949</v>
      </c>
    </row>
    <row r="11" spans="1:4">
      <c r="A11" s="157"/>
      <c r="B11" s="1353" t="s">
        <v>943</v>
      </c>
      <c r="C11" s="431" t="s">
        <v>2984</v>
      </c>
      <c r="D11" s="431" t="s">
        <v>6274</v>
      </c>
    </row>
    <row r="12" spans="1:4">
      <c r="A12" s="157"/>
      <c r="B12" s="1331" t="s">
        <v>5692</v>
      </c>
      <c r="C12" s="431" t="s">
        <v>5649</v>
      </c>
      <c r="D12" s="432" t="s">
        <v>5693</v>
      </c>
    </row>
    <row r="13" spans="1:4">
      <c r="A13" s="157"/>
      <c r="B13" s="1331"/>
      <c r="C13" s="431"/>
      <c r="D13" s="431"/>
    </row>
    <row r="14" spans="1:4">
      <c r="A14" s="157"/>
      <c r="B14" s="433"/>
      <c r="C14" s="433"/>
      <c r="D14" s="433"/>
    </row>
    <row r="15" spans="1:4">
      <c r="A15" s="157"/>
      <c r="B15" s="433"/>
      <c r="C15" s="433"/>
      <c r="D15" s="433"/>
    </row>
    <row r="16" spans="1:4">
      <c r="A16" s="157"/>
      <c r="B16" s="433"/>
      <c r="C16" s="433"/>
      <c r="D16" s="433"/>
    </row>
    <row r="17" spans="1:4">
      <c r="A17" s="157"/>
      <c r="B17" s="157"/>
      <c r="C17" s="157"/>
      <c r="D17" s="157"/>
    </row>
    <row r="18" spans="1:4">
      <c r="A18" s="157"/>
      <c r="B18" s="157"/>
      <c r="C18" s="157"/>
      <c r="D18" s="15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5440-1E99-4D9F-9531-A7A9BD01171C}">
  <dimension ref="A1:P2780"/>
  <sheetViews>
    <sheetView topLeftCell="A2770" workbookViewId="0">
      <selection activeCell="G2209" sqref="G2209"/>
    </sheetView>
  </sheetViews>
  <sheetFormatPr baseColWidth="10" defaultRowHeight="12.75"/>
  <cols>
    <col min="2" max="2" width="36.85546875" customWidth="1"/>
    <col min="3" max="3" width="14" customWidth="1"/>
    <col min="6" max="6" width="11.7109375" bestFit="1" customWidth="1"/>
    <col min="7" max="7" width="14.5703125" customWidth="1"/>
    <col min="14" max="14" width="16.140625" customWidth="1"/>
  </cols>
  <sheetData>
    <row r="1" spans="1:9">
      <c r="A1" s="135" t="s">
        <v>3370</v>
      </c>
      <c r="B1" s="135"/>
      <c r="D1" s="135"/>
      <c r="E1" s="135"/>
      <c r="F1" s="135"/>
      <c r="G1" s="135"/>
      <c r="H1" s="135" t="s">
        <v>7082</v>
      </c>
      <c r="I1" s="135"/>
    </row>
    <row r="2" spans="1:9">
      <c r="A2" s="135" t="s">
        <v>4127</v>
      </c>
      <c r="B2" s="135"/>
      <c r="C2" s="135"/>
      <c r="D2" s="135"/>
      <c r="E2" s="135"/>
      <c r="F2" s="135"/>
      <c r="G2" s="135"/>
      <c r="H2" s="135"/>
      <c r="I2" s="135"/>
    </row>
    <row r="3" spans="1:9">
      <c r="A3" s="135" t="s">
        <v>282</v>
      </c>
      <c r="B3" s="135" t="s">
        <v>262</v>
      </c>
      <c r="C3" s="135" t="s">
        <v>98</v>
      </c>
      <c r="D3" s="135" t="s">
        <v>955</v>
      </c>
      <c r="E3" s="135" t="s">
        <v>4128</v>
      </c>
      <c r="F3" s="135" t="s">
        <v>4129</v>
      </c>
      <c r="G3" s="135" t="s">
        <v>4130</v>
      </c>
      <c r="H3" s="135" t="s">
        <v>4131</v>
      </c>
      <c r="I3" s="135" t="s">
        <v>4132</v>
      </c>
    </row>
    <row r="5" spans="1:9">
      <c r="A5">
        <v>1</v>
      </c>
      <c r="B5" t="s">
        <v>247</v>
      </c>
    </row>
    <row r="7" spans="1:9">
      <c r="A7">
        <v>11002</v>
      </c>
      <c r="B7" t="s">
        <v>1123</v>
      </c>
    </row>
    <row r="8" spans="1:9">
      <c r="A8" s="785">
        <v>43232</v>
      </c>
      <c r="B8" t="s">
        <v>4133</v>
      </c>
      <c r="C8" s="765">
        <v>75590.7</v>
      </c>
      <c r="D8" s="765">
        <v>47597.58</v>
      </c>
      <c r="E8" s="765">
        <v>47597.58</v>
      </c>
      <c r="I8" s="765">
        <v>47597.58</v>
      </c>
    </row>
    <row r="9" spans="1:9">
      <c r="A9" s="785">
        <v>43232</v>
      </c>
      <c r="B9" t="s">
        <v>4134</v>
      </c>
      <c r="C9" s="765">
        <v>13567.36</v>
      </c>
      <c r="D9" s="765">
        <v>13567.36</v>
      </c>
      <c r="E9" s="765">
        <v>61164.94</v>
      </c>
      <c r="I9" s="765">
        <v>13567.36</v>
      </c>
    </row>
    <row r="10" spans="1:9">
      <c r="A10" s="785">
        <v>43171</v>
      </c>
      <c r="B10" t="s">
        <v>4135</v>
      </c>
      <c r="C10" s="765">
        <v>65292.92</v>
      </c>
      <c r="D10" s="765">
        <v>23471.53</v>
      </c>
      <c r="E10" s="765">
        <v>84636.47</v>
      </c>
      <c r="I10" s="765">
        <v>23471.53</v>
      </c>
    </row>
    <row r="11" spans="1:9">
      <c r="A11" s="785">
        <v>43171</v>
      </c>
      <c r="B11" t="s">
        <v>4136</v>
      </c>
      <c r="C11" s="765">
        <v>15704.22</v>
      </c>
      <c r="D11" s="765">
        <v>15704.22</v>
      </c>
      <c r="E11" s="765">
        <v>100340.69</v>
      </c>
      <c r="I11" s="765">
        <v>15704.22</v>
      </c>
    </row>
    <row r="12" spans="1:9">
      <c r="A12" s="785">
        <v>43500</v>
      </c>
      <c r="B12" t="s">
        <v>4137</v>
      </c>
      <c r="C12" s="765">
        <v>10892.37</v>
      </c>
      <c r="D12" s="765">
        <v>10892.37</v>
      </c>
      <c r="E12" s="765">
        <v>111233.06</v>
      </c>
      <c r="I12" s="765">
        <v>10892.37</v>
      </c>
    </row>
    <row r="13" spans="1:9">
      <c r="A13" s="785">
        <v>44266</v>
      </c>
      <c r="B13" t="s">
        <v>6839</v>
      </c>
      <c r="C13" s="765">
        <v>173254.2</v>
      </c>
      <c r="D13" s="765">
        <v>173254.2</v>
      </c>
      <c r="E13" s="765">
        <v>284487.26</v>
      </c>
      <c r="I13" s="765">
        <v>173254.2</v>
      </c>
    </row>
    <row r="14" spans="1:9">
      <c r="A14" s="785">
        <v>44208</v>
      </c>
      <c r="B14" t="s">
        <v>7083</v>
      </c>
      <c r="C14" s="765">
        <v>159579.37</v>
      </c>
      <c r="D14" s="765">
        <v>159579.37</v>
      </c>
      <c r="E14" s="765">
        <v>444066.63</v>
      </c>
      <c r="H14" s="765">
        <v>159579.37</v>
      </c>
    </row>
    <row r="16" spans="1:9">
      <c r="A16" t="s">
        <v>4138</v>
      </c>
      <c r="B16" s="765">
        <v>513881.14</v>
      </c>
      <c r="C16" s="765">
        <v>444066.63</v>
      </c>
      <c r="D16">
        <v>0</v>
      </c>
      <c r="E16">
        <v>0</v>
      </c>
      <c r="F16" s="765">
        <v>159579.37</v>
      </c>
      <c r="G16" s="765">
        <v>284487.26</v>
      </c>
    </row>
    <row r="18" spans="1:9">
      <c r="A18">
        <v>11007</v>
      </c>
      <c r="B18" t="s">
        <v>4139</v>
      </c>
    </row>
    <row r="19" spans="1:9">
      <c r="A19" s="785">
        <v>43503</v>
      </c>
      <c r="B19" t="s">
        <v>4140</v>
      </c>
      <c r="C19" s="765">
        <v>4203.57</v>
      </c>
      <c r="D19" s="765">
        <v>4203.57</v>
      </c>
      <c r="E19" s="765">
        <v>4203.57</v>
      </c>
      <c r="I19" s="765">
        <v>4203.57</v>
      </c>
    </row>
    <row r="20" spans="1:9">
      <c r="A20" s="785">
        <v>43505</v>
      </c>
      <c r="B20" t="s">
        <v>4141</v>
      </c>
      <c r="C20" s="765">
        <v>3614.01</v>
      </c>
      <c r="D20" s="765">
        <v>3614.01</v>
      </c>
      <c r="E20" s="765">
        <v>7817.58</v>
      </c>
      <c r="I20" s="765">
        <v>3614.01</v>
      </c>
    </row>
    <row r="21" spans="1:9">
      <c r="A21" s="785">
        <v>43475</v>
      </c>
      <c r="B21" t="s">
        <v>4142</v>
      </c>
      <c r="C21" s="765">
        <v>3079.46</v>
      </c>
      <c r="D21" s="765">
        <v>3079.46</v>
      </c>
      <c r="E21" s="765">
        <v>10897.04</v>
      </c>
      <c r="I21" s="765">
        <v>3079.46</v>
      </c>
    </row>
    <row r="22" spans="1:9">
      <c r="A22" s="785">
        <v>43476</v>
      </c>
      <c r="B22" t="s">
        <v>4143</v>
      </c>
      <c r="C22" s="765">
        <v>2691.58</v>
      </c>
      <c r="D22" s="765">
        <v>2691.58</v>
      </c>
      <c r="E22" s="765">
        <v>13588.62</v>
      </c>
      <c r="I22" s="765">
        <v>2691.58</v>
      </c>
    </row>
    <row r="23" spans="1:9">
      <c r="A23" s="785">
        <v>44013</v>
      </c>
      <c r="B23" t="s">
        <v>4144</v>
      </c>
      <c r="C23" s="765">
        <v>1929.11</v>
      </c>
      <c r="D23" s="765">
        <v>1929.11</v>
      </c>
      <c r="E23" s="765">
        <v>15517.73</v>
      </c>
      <c r="I23" s="765">
        <v>1929.11</v>
      </c>
    </row>
    <row r="24" spans="1:9">
      <c r="A24" t="s">
        <v>4145</v>
      </c>
      <c r="B24" t="s">
        <v>4146</v>
      </c>
      <c r="C24" s="765">
        <v>1215.44</v>
      </c>
      <c r="D24" s="765">
        <v>1215.44</v>
      </c>
      <c r="E24" s="765">
        <v>16733.169999999998</v>
      </c>
      <c r="I24" s="765">
        <v>1215.44</v>
      </c>
    </row>
    <row r="25" spans="1:9">
      <c r="A25" t="s">
        <v>4145</v>
      </c>
      <c r="B25" t="s">
        <v>4147</v>
      </c>
      <c r="C25">
        <v>774.18</v>
      </c>
      <c r="D25">
        <v>774.18</v>
      </c>
      <c r="E25" s="765">
        <v>17507.349999999999</v>
      </c>
      <c r="I25">
        <v>774.18</v>
      </c>
    </row>
    <row r="26" spans="1:9">
      <c r="A26" t="s">
        <v>4145</v>
      </c>
      <c r="B26" t="s">
        <v>4148</v>
      </c>
      <c r="C26" s="765">
        <v>1101.06</v>
      </c>
      <c r="D26" s="765">
        <v>1101.06</v>
      </c>
      <c r="E26" s="765">
        <v>18608.41</v>
      </c>
      <c r="I26" s="765">
        <v>1101.06</v>
      </c>
    </row>
    <row r="27" spans="1:9">
      <c r="A27" s="785">
        <v>43836</v>
      </c>
      <c r="B27" t="s">
        <v>4149</v>
      </c>
      <c r="C27">
        <v>881.38</v>
      </c>
      <c r="D27">
        <v>881.38</v>
      </c>
      <c r="E27" s="765">
        <v>19489.79</v>
      </c>
      <c r="I27">
        <v>881.38</v>
      </c>
    </row>
    <row r="28" spans="1:9">
      <c r="A28" s="785">
        <v>44208</v>
      </c>
      <c r="B28" t="s">
        <v>7084</v>
      </c>
      <c r="C28" s="765">
        <v>21220.240000000002</v>
      </c>
      <c r="D28" s="765">
        <v>21220.240000000002</v>
      </c>
      <c r="E28" s="765">
        <v>40710.03</v>
      </c>
      <c r="H28" s="765">
        <v>21220.240000000002</v>
      </c>
    </row>
    <row r="29" spans="1:9">
      <c r="A29" s="785">
        <v>44208</v>
      </c>
      <c r="B29" t="s">
        <v>7085</v>
      </c>
      <c r="C29" s="765">
        <v>9070.83</v>
      </c>
      <c r="D29" s="765">
        <v>9070.83</v>
      </c>
      <c r="E29" s="765">
        <v>49780.86</v>
      </c>
      <c r="H29" s="765">
        <v>9070.83</v>
      </c>
    </row>
    <row r="30" spans="1:9">
      <c r="A30" s="785">
        <v>44208</v>
      </c>
      <c r="B30" t="s">
        <v>7086</v>
      </c>
      <c r="C30" s="765">
        <v>637716.56000000006</v>
      </c>
      <c r="D30" s="765">
        <v>637716.56000000006</v>
      </c>
      <c r="E30" s="765">
        <v>687497.42</v>
      </c>
      <c r="H30" s="765">
        <v>637716.56000000006</v>
      </c>
    </row>
    <row r="31" spans="1:9">
      <c r="A31" s="785">
        <v>44208</v>
      </c>
      <c r="B31" t="s">
        <v>7087</v>
      </c>
      <c r="C31" s="765">
        <v>25838.12</v>
      </c>
      <c r="D31" s="765">
        <v>25838.12</v>
      </c>
      <c r="E31" s="765">
        <v>713335.54</v>
      </c>
      <c r="H31" s="765">
        <v>25838.12</v>
      </c>
    </row>
    <row r="32" spans="1:9">
      <c r="A32" t="s">
        <v>7088</v>
      </c>
      <c r="B32" t="s">
        <v>7089</v>
      </c>
      <c r="C32" s="765">
        <v>224336.65</v>
      </c>
      <c r="D32" s="765">
        <v>224336.65</v>
      </c>
      <c r="E32" s="765">
        <v>937672.19</v>
      </c>
      <c r="G32" s="765">
        <v>224336.65</v>
      </c>
    </row>
    <row r="34" spans="1:9">
      <c r="A34" t="s">
        <v>4138</v>
      </c>
      <c r="B34" s="765">
        <v>937672.19</v>
      </c>
      <c r="C34" s="765">
        <v>937672.19</v>
      </c>
      <c r="D34">
        <v>0</v>
      </c>
      <c r="E34" s="765">
        <v>224336.65</v>
      </c>
      <c r="F34" s="765">
        <v>693845.75</v>
      </c>
      <c r="G34" s="765">
        <v>19489.79</v>
      </c>
    </row>
    <row r="36" spans="1:9">
      <c r="A36">
        <v>11023</v>
      </c>
      <c r="B36" t="s">
        <v>3371</v>
      </c>
    </row>
    <row r="37" spans="1:9">
      <c r="A37" s="785">
        <v>43864</v>
      </c>
      <c r="B37" t="s">
        <v>4150</v>
      </c>
      <c r="C37" s="765">
        <v>7153.03</v>
      </c>
      <c r="D37">
        <v>370</v>
      </c>
      <c r="E37">
        <v>370</v>
      </c>
      <c r="I37">
        <v>370</v>
      </c>
    </row>
    <row r="38" spans="1:9">
      <c r="A38" s="785">
        <v>43864</v>
      </c>
      <c r="B38" t="s">
        <v>4151</v>
      </c>
      <c r="C38" s="765">
        <v>5278.99</v>
      </c>
      <c r="D38">
        <v>273.05</v>
      </c>
      <c r="E38">
        <v>643.04999999999995</v>
      </c>
      <c r="I38">
        <v>273.05</v>
      </c>
    </row>
    <row r="39" spans="1:9">
      <c r="A39" s="785">
        <v>43864</v>
      </c>
      <c r="B39" t="s">
        <v>4152</v>
      </c>
      <c r="C39" s="765">
        <v>50547.02</v>
      </c>
      <c r="D39">
        <v>839.29</v>
      </c>
      <c r="E39" s="765">
        <v>1482.34</v>
      </c>
      <c r="I39">
        <v>839.29</v>
      </c>
    </row>
    <row r="40" spans="1:9">
      <c r="A40" s="785">
        <v>43834</v>
      </c>
      <c r="B40" t="s">
        <v>4153</v>
      </c>
      <c r="C40" s="765">
        <v>7153.03</v>
      </c>
      <c r="D40" s="765">
        <v>7153.03</v>
      </c>
      <c r="E40" s="765">
        <v>8635.3700000000008</v>
      </c>
      <c r="I40" s="765">
        <v>7153.03</v>
      </c>
    </row>
    <row r="41" spans="1:9">
      <c r="A41" s="785">
        <v>43834</v>
      </c>
      <c r="B41" t="s">
        <v>4154</v>
      </c>
      <c r="C41" s="765">
        <v>5278.99</v>
      </c>
      <c r="D41" s="765">
        <v>5278.99</v>
      </c>
      <c r="E41" s="765">
        <v>13914.36</v>
      </c>
      <c r="I41" s="765">
        <v>5278.99</v>
      </c>
    </row>
    <row r="42" spans="1:9">
      <c r="A42" t="s">
        <v>4155</v>
      </c>
      <c r="B42" t="s">
        <v>4156</v>
      </c>
      <c r="C42" s="765">
        <v>19580.95</v>
      </c>
      <c r="D42">
        <v>17.399999999999999</v>
      </c>
      <c r="E42" s="765">
        <v>13931.76</v>
      </c>
      <c r="I42">
        <v>17.399999999999999</v>
      </c>
    </row>
    <row r="43" spans="1:9">
      <c r="A43" s="785">
        <v>43836</v>
      </c>
      <c r="B43" t="s">
        <v>4157</v>
      </c>
      <c r="C43" s="765">
        <v>20408.34</v>
      </c>
      <c r="D43">
        <v>17.399999999999999</v>
      </c>
      <c r="E43" s="765">
        <v>13949.16</v>
      </c>
      <c r="I43">
        <v>17.399999999999999</v>
      </c>
    </row>
    <row r="44" spans="1:9">
      <c r="A44" s="785">
        <v>43989</v>
      </c>
      <c r="B44" t="s">
        <v>4158</v>
      </c>
      <c r="C44" s="765">
        <v>27375.58</v>
      </c>
      <c r="D44">
        <v>17.399999999999999</v>
      </c>
      <c r="E44" s="765">
        <v>13966.56</v>
      </c>
      <c r="I44">
        <v>17.399999999999999</v>
      </c>
    </row>
    <row r="45" spans="1:9">
      <c r="A45" s="785">
        <v>43959</v>
      </c>
      <c r="B45" t="s">
        <v>4159</v>
      </c>
      <c r="C45" s="765">
        <v>25280.66</v>
      </c>
      <c r="D45">
        <v>17.41</v>
      </c>
      <c r="E45" s="765">
        <v>13983.97</v>
      </c>
      <c r="I45">
        <v>17.41</v>
      </c>
    </row>
    <row r="46" spans="1:9">
      <c r="A46" s="785">
        <v>43899</v>
      </c>
      <c r="B46" t="s">
        <v>5227</v>
      </c>
      <c r="C46" s="765">
        <v>20585.37</v>
      </c>
      <c r="D46">
        <v>17.399999999999999</v>
      </c>
      <c r="E46" s="765">
        <v>14001.37</v>
      </c>
      <c r="I46">
        <v>17.399999999999999</v>
      </c>
    </row>
    <row r="47" spans="1:9">
      <c r="A47" s="785">
        <v>43961</v>
      </c>
      <c r="B47" t="s">
        <v>5277</v>
      </c>
      <c r="C47" s="765">
        <v>20452.89</v>
      </c>
      <c r="D47">
        <v>17.399999999999999</v>
      </c>
      <c r="E47" s="765">
        <v>14018.77</v>
      </c>
      <c r="I47">
        <v>17.399999999999999</v>
      </c>
    </row>
    <row r="48" spans="1:9">
      <c r="A48" s="785">
        <v>43901</v>
      </c>
      <c r="B48" t="s">
        <v>5323</v>
      </c>
      <c r="C48" s="765">
        <v>20144.5</v>
      </c>
      <c r="D48">
        <v>17.399999999999999</v>
      </c>
      <c r="E48" s="765">
        <v>14036.17</v>
      </c>
      <c r="I48">
        <v>17.399999999999999</v>
      </c>
    </row>
    <row r="49" spans="1:9">
      <c r="A49" t="s">
        <v>5324</v>
      </c>
      <c r="B49" t="s">
        <v>5325</v>
      </c>
      <c r="C49" s="765">
        <v>15889.78</v>
      </c>
      <c r="D49">
        <v>107.5</v>
      </c>
      <c r="E49" s="765">
        <v>14143.67</v>
      </c>
      <c r="I49">
        <v>107.5</v>
      </c>
    </row>
    <row r="50" spans="1:9">
      <c r="A50" s="785">
        <v>43842</v>
      </c>
      <c r="B50" t="s">
        <v>5609</v>
      </c>
      <c r="C50" s="765">
        <v>35436</v>
      </c>
      <c r="D50">
        <v>17.420000000000002</v>
      </c>
      <c r="E50" s="765">
        <v>14161.09</v>
      </c>
      <c r="I50">
        <v>17.420000000000002</v>
      </c>
    </row>
    <row r="51" spans="1:9">
      <c r="A51" s="785">
        <v>44317</v>
      </c>
      <c r="B51" t="s">
        <v>5743</v>
      </c>
      <c r="C51" s="765">
        <v>34510.080000000002</v>
      </c>
      <c r="D51">
        <v>17.420000000000002</v>
      </c>
      <c r="E51" s="765">
        <v>14178.51</v>
      </c>
      <c r="I51">
        <v>17.420000000000002</v>
      </c>
    </row>
    <row r="52" spans="1:9">
      <c r="A52" s="785">
        <v>44229</v>
      </c>
      <c r="B52" t="s">
        <v>5875</v>
      </c>
      <c r="C52" s="765">
        <v>37027.14</v>
      </c>
      <c r="D52">
        <v>17.420000000000002</v>
      </c>
      <c r="E52" s="765">
        <v>14195.93</v>
      </c>
      <c r="I52">
        <v>17.420000000000002</v>
      </c>
    </row>
    <row r="53" spans="1:9">
      <c r="A53" s="785">
        <v>44199</v>
      </c>
      <c r="B53" t="s">
        <v>5931</v>
      </c>
      <c r="C53" s="765">
        <v>47521.48</v>
      </c>
      <c r="D53">
        <v>17.43</v>
      </c>
      <c r="E53" s="765">
        <v>14213.36</v>
      </c>
      <c r="I53">
        <v>17.43</v>
      </c>
    </row>
    <row r="54" spans="1:9">
      <c r="A54" s="785">
        <v>44200</v>
      </c>
      <c r="B54" t="s">
        <v>6206</v>
      </c>
      <c r="C54" s="765">
        <v>35904.61</v>
      </c>
      <c r="D54">
        <v>17.420000000000002</v>
      </c>
      <c r="E54" s="765">
        <v>14230.78</v>
      </c>
      <c r="I54">
        <v>17.420000000000002</v>
      </c>
    </row>
    <row r="55" spans="1:9">
      <c r="A55" s="785">
        <v>44260</v>
      </c>
      <c r="B55" t="s">
        <v>6207</v>
      </c>
      <c r="C55" s="765">
        <v>38868.28</v>
      </c>
      <c r="D55">
        <v>17.420000000000002</v>
      </c>
      <c r="E55" s="765">
        <v>14248.2</v>
      </c>
      <c r="I55">
        <v>17.420000000000002</v>
      </c>
    </row>
    <row r="56" spans="1:9">
      <c r="A56" s="785">
        <v>44202</v>
      </c>
      <c r="B56" t="s">
        <v>6275</v>
      </c>
      <c r="C56" s="765">
        <v>41479.980000000003</v>
      </c>
      <c r="D56">
        <v>17.440000000000001</v>
      </c>
      <c r="E56" s="765">
        <v>14265.64</v>
      </c>
      <c r="I56">
        <v>17.440000000000001</v>
      </c>
    </row>
    <row r="57" spans="1:9">
      <c r="A57" s="785">
        <v>44203</v>
      </c>
      <c r="B57" t="s">
        <v>6382</v>
      </c>
      <c r="C57" s="765">
        <v>41490.29</v>
      </c>
      <c r="D57">
        <v>17.420000000000002</v>
      </c>
      <c r="E57" s="765">
        <v>14283.06</v>
      </c>
      <c r="I57">
        <v>17.420000000000002</v>
      </c>
    </row>
    <row r="58" spans="1:9">
      <c r="A58" s="785">
        <v>44235</v>
      </c>
      <c r="B58" t="s">
        <v>6477</v>
      </c>
      <c r="C58" s="765">
        <v>39892.51</v>
      </c>
      <c r="D58">
        <v>17.43</v>
      </c>
      <c r="E58" s="765">
        <v>14300.49</v>
      </c>
      <c r="I58">
        <v>17.43</v>
      </c>
    </row>
    <row r="59" spans="1:9">
      <c r="A59" s="785">
        <v>44356</v>
      </c>
      <c r="B59" t="s">
        <v>6580</v>
      </c>
      <c r="C59" s="765">
        <v>35612.879999999997</v>
      </c>
      <c r="D59">
        <v>17.420000000000002</v>
      </c>
      <c r="E59" s="765">
        <v>14317.91</v>
      </c>
      <c r="I59">
        <v>17.420000000000002</v>
      </c>
    </row>
    <row r="60" spans="1:9">
      <c r="A60" s="785">
        <v>44206</v>
      </c>
      <c r="B60" t="s">
        <v>7090</v>
      </c>
      <c r="C60" s="765">
        <v>36607.78</v>
      </c>
      <c r="D60">
        <v>17.420000000000002</v>
      </c>
      <c r="E60" s="765">
        <v>14335.33</v>
      </c>
      <c r="I60">
        <v>17.420000000000002</v>
      </c>
    </row>
    <row r="61" spans="1:9">
      <c r="A61" s="785">
        <v>44207</v>
      </c>
      <c r="B61" t="s">
        <v>7091</v>
      </c>
      <c r="C61" s="765">
        <v>37217</v>
      </c>
      <c r="D61">
        <v>17.420000000000002</v>
      </c>
      <c r="E61" s="765">
        <v>14352.75</v>
      </c>
      <c r="I61">
        <v>17.420000000000002</v>
      </c>
    </row>
    <row r="62" spans="1:9">
      <c r="A62" s="785">
        <v>44208</v>
      </c>
      <c r="B62" t="s">
        <v>7092</v>
      </c>
      <c r="C62" s="765">
        <v>36304.17</v>
      </c>
      <c r="D62">
        <v>17.43</v>
      </c>
      <c r="E62" s="765">
        <v>14370.18</v>
      </c>
      <c r="H62">
        <v>17.43</v>
      </c>
    </row>
    <row r="64" spans="1:9">
      <c r="A64" t="s">
        <v>4138</v>
      </c>
      <c r="B64" s="765">
        <v>743001.33</v>
      </c>
      <c r="C64" s="765">
        <v>14370.18</v>
      </c>
      <c r="D64">
        <v>0</v>
      </c>
      <c r="E64">
        <v>0</v>
      </c>
      <c r="F64">
        <v>17.43</v>
      </c>
      <c r="G64" s="765">
        <v>14352.75</v>
      </c>
    </row>
    <row r="66" spans="1:9">
      <c r="A66">
        <v>11044</v>
      </c>
      <c r="B66" t="s">
        <v>5766</v>
      </c>
    </row>
    <row r="67" spans="1:9">
      <c r="A67" s="785">
        <v>44239</v>
      </c>
      <c r="B67" t="s">
        <v>7093</v>
      </c>
      <c r="C67" s="765">
        <v>10122.290000000001</v>
      </c>
      <c r="D67" s="765">
        <v>10122.290000000001</v>
      </c>
      <c r="E67" s="765">
        <v>10122.290000000001</v>
      </c>
      <c r="H67" s="765">
        <v>10122.290000000001</v>
      </c>
    </row>
    <row r="69" spans="1:9">
      <c r="A69" t="s">
        <v>4138</v>
      </c>
      <c r="B69" s="765">
        <v>10122.290000000001</v>
      </c>
      <c r="C69" s="765">
        <v>10122.290000000001</v>
      </c>
      <c r="D69">
        <v>0</v>
      </c>
      <c r="E69">
        <v>0</v>
      </c>
      <c r="F69" s="765">
        <v>10122.290000000001</v>
      </c>
      <c r="G69">
        <v>0</v>
      </c>
    </row>
    <row r="71" spans="1:9">
      <c r="A71">
        <v>11052</v>
      </c>
      <c r="B71" t="s">
        <v>6208</v>
      </c>
    </row>
    <row r="72" spans="1:9">
      <c r="A72" s="785">
        <v>44208</v>
      </c>
      <c r="B72" t="s">
        <v>7094</v>
      </c>
      <c r="C72" s="765">
        <v>5155.1099999999997</v>
      </c>
      <c r="D72" s="765">
        <v>5155.1099999999997</v>
      </c>
      <c r="E72" s="765">
        <v>5155.1099999999997</v>
      </c>
      <c r="H72" s="765">
        <v>5155.1099999999997</v>
      </c>
    </row>
    <row r="74" spans="1:9">
      <c r="A74" t="s">
        <v>4138</v>
      </c>
      <c r="B74" s="765">
        <v>5155.1099999999997</v>
      </c>
      <c r="C74" s="765">
        <v>5155.1099999999997</v>
      </c>
      <c r="D74">
        <v>0</v>
      </c>
      <c r="E74">
        <v>0</v>
      </c>
      <c r="F74" s="765">
        <v>5155.1099999999997</v>
      </c>
      <c r="G74">
        <v>0</v>
      </c>
    </row>
    <row r="76" spans="1:9">
      <c r="A76">
        <v>11053</v>
      </c>
      <c r="B76" t="s">
        <v>3372</v>
      </c>
    </row>
    <row r="77" spans="1:9">
      <c r="A77" s="785">
        <v>43232</v>
      </c>
      <c r="B77" t="s">
        <v>4160</v>
      </c>
      <c r="C77" s="765">
        <v>11017.15</v>
      </c>
      <c r="D77" s="765">
        <v>10000.25</v>
      </c>
      <c r="E77" s="765">
        <v>10000.25</v>
      </c>
      <c r="I77" s="765">
        <v>10000.25</v>
      </c>
    </row>
    <row r="78" spans="1:9">
      <c r="A78" s="785">
        <v>44356</v>
      </c>
      <c r="B78" t="s">
        <v>6581</v>
      </c>
      <c r="C78">
        <v>857.68</v>
      </c>
      <c r="D78">
        <v>857.68</v>
      </c>
      <c r="E78" s="765">
        <v>10857.93</v>
      </c>
      <c r="I78">
        <v>857.68</v>
      </c>
    </row>
    <row r="79" spans="1:9">
      <c r="A79" s="785">
        <v>44296</v>
      </c>
      <c r="B79" t="s">
        <v>6685</v>
      </c>
      <c r="C79" s="765">
        <v>11557.36</v>
      </c>
      <c r="D79" s="765">
        <v>11557.36</v>
      </c>
      <c r="E79" s="765">
        <v>22415.29</v>
      </c>
      <c r="I79" s="765">
        <v>11557.36</v>
      </c>
    </row>
    <row r="80" spans="1:9">
      <c r="A80" s="785">
        <v>44296</v>
      </c>
      <c r="B80" t="s">
        <v>6686</v>
      </c>
      <c r="C80" s="765">
        <v>1020.59</v>
      </c>
      <c r="D80" s="765">
        <v>1020.59</v>
      </c>
      <c r="E80" s="765">
        <v>23435.88</v>
      </c>
      <c r="I80" s="765">
        <v>1020.59</v>
      </c>
    </row>
    <row r="81" spans="1:9">
      <c r="A81" s="785">
        <v>44238</v>
      </c>
      <c r="B81" t="s">
        <v>6840</v>
      </c>
      <c r="C81" s="765">
        <v>11262.85</v>
      </c>
      <c r="D81" s="765">
        <v>11262.85</v>
      </c>
      <c r="E81" s="765">
        <v>34698.730000000003</v>
      </c>
      <c r="I81" s="765">
        <v>11262.85</v>
      </c>
    </row>
    <row r="82" spans="1:9">
      <c r="A82" s="785">
        <v>44238</v>
      </c>
      <c r="B82" t="s">
        <v>6841</v>
      </c>
      <c r="C82">
        <v>840.24</v>
      </c>
      <c r="D82">
        <v>840.24</v>
      </c>
      <c r="E82" s="765">
        <v>35538.97</v>
      </c>
      <c r="I82">
        <v>840.24</v>
      </c>
    </row>
    <row r="83" spans="1:9">
      <c r="A83" s="785">
        <v>44208</v>
      </c>
      <c r="B83" t="s">
        <v>7095</v>
      </c>
      <c r="C83" s="765">
        <v>10635.79</v>
      </c>
      <c r="D83" s="765">
        <v>10635.79</v>
      </c>
      <c r="E83" s="765">
        <v>46174.76</v>
      </c>
      <c r="H83" s="765">
        <v>10635.79</v>
      </c>
    </row>
    <row r="84" spans="1:9">
      <c r="A84" s="785">
        <v>44208</v>
      </c>
      <c r="B84" t="s">
        <v>7096</v>
      </c>
      <c r="C84">
        <v>781.97</v>
      </c>
      <c r="D84">
        <v>781.97</v>
      </c>
      <c r="E84" s="765">
        <v>46956.73</v>
      </c>
      <c r="H84">
        <v>781.97</v>
      </c>
    </row>
    <row r="86" spans="1:9">
      <c r="A86" t="s">
        <v>4138</v>
      </c>
      <c r="B86" s="765">
        <v>47973.63</v>
      </c>
      <c r="C86" s="765">
        <v>46956.73</v>
      </c>
      <c r="D86">
        <v>0</v>
      </c>
      <c r="E86">
        <v>0</v>
      </c>
      <c r="F86" s="765">
        <v>11417.76</v>
      </c>
      <c r="G86" s="765">
        <v>35538.97</v>
      </c>
    </row>
    <row r="88" spans="1:9">
      <c r="A88">
        <v>11073</v>
      </c>
      <c r="B88" t="s">
        <v>6478</v>
      </c>
    </row>
    <row r="89" spans="1:9">
      <c r="A89" s="785">
        <v>44238</v>
      </c>
      <c r="B89" t="s">
        <v>6842</v>
      </c>
      <c r="C89" s="765">
        <v>10414.370000000001</v>
      </c>
      <c r="D89" s="765">
        <v>10414.370000000001</v>
      </c>
      <c r="E89" s="765">
        <v>10414.370000000001</v>
      </c>
      <c r="I89" s="765">
        <v>10414.370000000001</v>
      </c>
    </row>
    <row r="90" spans="1:9">
      <c r="A90" s="785">
        <v>44238</v>
      </c>
      <c r="B90" t="s">
        <v>6843</v>
      </c>
      <c r="C90" s="765">
        <v>21218.52</v>
      </c>
      <c r="D90" s="765">
        <v>21218.52</v>
      </c>
      <c r="E90" s="765">
        <v>31632.89</v>
      </c>
      <c r="I90" s="765">
        <v>21218.52</v>
      </c>
    </row>
    <row r="91" spans="1:9">
      <c r="A91" s="785">
        <v>44238</v>
      </c>
      <c r="B91" t="s">
        <v>6844</v>
      </c>
      <c r="C91" s="765">
        <v>1502.25</v>
      </c>
      <c r="D91" s="765">
        <v>1502.25</v>
      </c>
      <c r="E91" s="765">
        <v>33135.14</v>
      </c>
      <c r="I91" s="765">
        <v>1502.25</v>
      </c>
    </row>
    <row r="92" spans="1:9">
      <c r="A92" s="785">
        <v>44208</v>
      </c>
      <c r="B92" t="s">
        <v>7097</v>
      </c>
      <c r="C92" s="765">
        <v>10256.61</v>
      </c>
      <c r="D92" s="765">
        <v>10256.61</v>
      </c>
      <c r="E92" s="765">
        <v>43391.75</v>
      </c>
      <c r="H92" s="765">
        <v>10256.61</v>
      </c>
    </row>
    <row r="93" spans="1:9">
      <c r="A93" s="785">
        <v>44208</v>
      </c>
      <c r="B93" t="s">
        <v>7098</v>
      </c>
      <c r="C93" s="765">
        <v>17183.060000000001</v>
      </c>
      <c r="D93" s="765">
        <v>17183.060000000001</v>
      </c>
      <c r="E93" s="765">
        <v>60574.81</v>
      </c>
      <c r="H93" s="765">
        <v>17183.060000000001</v>
      </c>
    </row>
    <row r="94" spans="1:9">
      <c r="A94" s="785">
        <v>44208</v>
      </c>
      <c r="B94" t="s">
        <v>7099</v>
      </c>
      <c r="C94" s="765">
        <v>1191.9000000000001</v>
      </c>
      <c r="D94" s="765">
        <v>1191.9000000000001</v>
      </c>
      <c r="E94" s="765">
        <v>61766.71</v>
      </c>
      <c r="H94" s="765">
        <v>1191.9000000000001</v>
      </c>
    </row>
    <row r="96" spans="1:9">
      <c r="A96" t="s">
        <v>4138</v>
      </c>
      <c r="B96" s="765">
        <v>61766.71</v>
      </c>
      <c r="C96" s="765">
        <v>61766.71</v>
      </c>
      <c r="D96">
        <v>0</v>
      </c>
      <c r="E96">
        <v>0</v>
      </c>
      <c r="F96" s="765">
        <v>28631.57</v>
      </c>
      <c r="G96" s="765">
        <v>33135.14</v>
      </c>
    </row>
    <row r="98" spans="1:9">
      <c r="A98">
        <v>11075</v>
      </c>
      <c r="B98" t="s">
        <v>3373</v>
      </c>
    </row>
    <row r="99" spans="1:9">
      <c r="A99" s="785">
        <v>43232</v>
      </c>
      <c r="B99" t="s">
        <v>4161</v>
      </c>
      <c r="C99" s="765">
        <v>1313.19</v>
      </c>
      <c r="D99" s="765">
        <v>1313.19</v>
      </c>
      <c r="E99" s="765">
        <v>1313.19</v>
      </c>
      <c r="I99" s="765">
        <v>1313.19</v>
      </c>
    </row>
    <row r="100" spans="1:9">
      <c r="A100" s="785">
        <v>44208</v>
      </c>
      <c r="B100" t="s">
        <v>7100</v>
      </c>
      <c r="C100" s="765">
        <v>2948.31</v>
      </c>
      <c r="D100" s="765">
        <v>2948.31</v>
      </c>
      <c r="E100" s="765">
        <v>4261.5</v>
      </c>
      <c r="H100" s="765">
        <v>2948.31</v>
      </c>
    </row>
    <row r="102" spans="1:9">
      <c r="A102" t="s">
        <v>4138</v>
      </c>
      <c r="B102" s="765">
        <v>4261.5</v>
      </c>
      <c r="C102" s="765">
        <v>4261.5</v>
      </c>
      <c r="D102">
        <v>0</v>
      </c>
      <c r="E102">
        <v>0</v>
      </c>
      <c r="F102" s="765">
        <v>2948.31</v>
      </c>
      <c r="G102" s="765">
        <v>1313.19</v>
      </c>
    </row>
    <row r="104" spans="1:9">
      <c r="A104">
        <v>11089</v>
      </c>
      <c r="B104" t="s">
        <v>3375</v>
      </c>
    </row>
    <row r="105" spans="1:9">
      <c r="A105" s="785">
        <v>43531</v>
      </c>
      <c r="B105" t="s">
        <v>4163</v>
      </c>
      <c r="C105" s="765">
        <v>1624.75</v>
      </c>
      <c r="D105" s="765">
        <v>1624.75</v>
      </c>
      <c r="E105" s="765">
        <v>1624.75</v>
      </c>
      <c r="I105" s="765">
        <v>1624.75</v>
      </c>
    </row>
    <row r="106" spans="1:9">
      <c r="A106" s="785">
        <v>43624</v>
      </c>
      <c r="B106" t="s">
        <v>4164</v>
      </c>
      <c r="C106" s="765">
        <v>1121.48</v>
      </c>
      <c r="D106" s="765">
        <v>1121.48</v>
      </c>
      <c r="E106" s="765">
        <v>2746.23</v>
      </c>
      <c r="I106" s="765">
        <v>1121.48</v>
      </c>
    </row>
    <row r="107" spans="1:9">
      <c r="A107" s="785">
        <v>44266</v>
      </c>
      <c r="B107" t="s">
        <v>6845</v>
      </c>
      <c r="C107" s="765">
        <v>1017.03</v>
      </c>
      <c r="D107" s="765">
        <v>1017.03</v>
      </c>
      <c r="E107" s="765">
        <v>3763.26</v>
      </c>
      <c r="I107" s="765">
        <v>1017.03</v>
      </c>
    </row>
    <row r="109" spans="1:9">
      <c r="A109" t="s">
        <v>4138</v>
      </c>
      <c r="B109" s="765">
        <v>3763.26</v>
      </c>
      <c r="C109" s="765">
        <v>3763.26</v>
      </c>
      <c r="D109">
        <v>0</v>
      </c>
      <c r="E109">
        <v>0</v>
      </c>
      <c r="F109">
        <v>0</v>
      </c>
      <c r="G109" s="765">
        <v>3763.26</v>
      </c>
    </row>
    <row r="111" spans="1:9">
      <c r="A111">
        <v>11092</v>
      </c>
      <c r="B111" t="s">
        <v>7101</v>
      </c>
    </row>
    <row r="112" spans="1:9">
      <c r="A112" s="785">
        <v>44208</v>
      </c>
      <c r="B112" t="s">
        <v>7102</v>
      </c>
      <c r="C112" s="765">
        <v>9743.94</v>
      </c>
      <c r="D112" s="765">
        <v>9743.94</v>
      </c>
      <c r="E112" s="765">
        <v>9743.94</v>
      </c>
      <c r="H112" s="765">
        <v>9743.94</v>
      </c>
    </row>
    <row r="113" spans="1:9">
      <c r="A113" s="785">
        <v>44208</v>
      </c>
      <c r="B113" t="s">
        <v>7103</v>
      </c>
      <c r="C113" s="765">
        <v>1894.01</v>
      </c>
      <c r="D113" s="765">
        <v>1894.01</v>
      </c>
      <c r="E113" s="765">
        <v>11637.95</v>
      </c>
      <c r="H113" s="765">
        <v>1894.01</v>
      </c>
    </row>
    <row r="115" spans="1:9">
      <c r="A115" t="s">
        <v>4138</v>
      </c>
      <c r="B115" s="765">
        <v>11637.95</v>
      </c>
      <c r="C115" s="765">
        <v>11637.95</v>
      </c>
      <c r="D115">
        <v>0</v>
      </c>
      <c r="E115">
        <v>0</v>
      </c>
      <c r="F115" s="765">
        <v>11637.95</v>
      </c>
      <c r="G115">
        <v>0</v>
      </c>
    </row>
    <row r="117" spans="1:9">
      <c r="A117">
        <v>11100</v>
      </c>
      <c r="B117" t="s">
        <v>3376</v>
      </c>
    </row>
    <row r="118" spans="1:9">
      <c r="A118" s="785">
        <v>43232</v>
      </c>
      <c r="B118" t="s">
        <v>4182</v>
      </c>
      <c r="C118" s="765">
        <v>2104.65</v>
      </c>
      <c r="D118" s="765">
        <v>2104.65</v>
      </c>
      <c r="E118" s="765">
        <v>2104.65</v>
      </c>
      <c r="I118" s="765">
        <v>2104.65</v>
      </c>
    </row>
    <row r="119" spans="1:9">
      <c r="A119" s="785">
        <v>43232</v>
      </c>
      <c r="B119" t="s">
        <v>4240</v>
      </c>
      <c r="C119" s="765">
        <v>2965.57</v>
      </c>
      <c r="D119" s="765">
        <v>2965.57</v>
      </c>
      <c r="E119" s="765">
        <v>5070.22</v>
      </c>
      <c r="I119" s="765">
        <v>2965.57</v>
      </c>
    </row>
    <row r="120" spans="1:9">
      <c r="A120" s="785">
        <v>43232</v>
      </c>
      <c r="B120" t="s">
        <v>4266</v>
      </c>
      <c r="C120" s="765">
        <v>2287.31</v>
      </c>
      <c r="D120" s="765">
        <v>2287.31</v>
      </c>
      <c r="E120" s="765">
        <v>7357.53</v>
      </c>
      <c r="I120" s="765">
        <v>2287.31</v>
      </c>
    </row>
    <row r="121" spans="1:9">
      <c r="A121" s="785">
        <v>43232</v>
      </c>
      <c r="B121" t="s">
        <v>4165</v>
      </c>
      <c r="C121" s="765">
        <v>2728.74</v>
      </c>
      <c r="D121">
        <v>413.28</v>
      </c>
      <c r="E121" s="765">
        <v>7770.81</v>
      </c>
      <c r="I121">
        <v>413.28</v>
      </c>
    </row>
    <row r="122" spans="1:9">
      <c r="A122" s="785">
        <v>43232</v>
      </c>
      <c r="B122" t="s">
        <v>4166</v>
      </c>
      <c r="C122" s="765">
        <v>5927.57</v>
      </c>
      <c r="D122" s="765">
        <v>5927.57</v>
      </c>
      <c r="E122" s="765">
        <v>13698.38</v>
      </c>
      <c r="I122" s="765">
        <v>5927.57</v>
      </c>
    </row>
    <row r="123" spans="1:9">
      <c r="A123" s="785">
        <v>43232</v>
      </c>
      <c r="B123" t="s">
        <v>4167</v>
      </c>
      <c r="C123" s="765">
        <v>2023.7</v>
      </c>
      <c r="D123" s="765">
        <v>2023.7</v>
      </c>
      <c r="E123" s="765">
        <v>15722.08</v>
      </c>
      <c r="I123" s="765">
        <v>2023.7</v>
      </c>
    </row>
    <row r="124" spans="1:9">
      <c r="A124" s="785">
        <v>43232</v>
      </c>
      <c r="B124" t="s">
        <v>4168</v>
      </c>
      <c r="C124" s="765">
        <v>2728.74</v>
      </c>
      <c r="D124" s="765">
        <v>2728.74</v>
      </c>
      <c r="E124" s="765">
        <v>18450.82</v>
      </c>
      <c r="I124" s="765">
        <v>2728.74</v>
      </c>
    </row>
    <row r="125" spans="1:9">
      <c r="A125" s="785">
        <v>43232</v>
      </c>
      <c r="B125" t="s">
        <v>4169</v>
      </c>
      <c r="C125" s="765">
        <v>5741.07</v>
      </c>
      <c r="D125" s="765">
        <v>5741.07</v>
      </c>
      <c r="E125" s="765">
        <v>24191.89</v>
      </c>
      <c r="I125" s="765">
        <v>5741.07</v>
      </c>
    </row>
    <row r="126" spans="1:9">
      <c r="A126" s="785">
        <v>43232</v>
      </c>
      <c r="B126" t="s">
        <v>4170</v>
      </c>
      <c r="C126" s="765">
        <v>2023.7</v>
      </c>
      <c r="D126" s="765">
        <v>2023.7</v>
      </c>
      <c r="E126" s="765">
        <v>26215.59</v>
      </c>
      <c r="I126" s="765">
        <v>2023.7</v>
      </c>
    </row>
    <row r="127" spans="1:9">
      <c r="A127" s="785">
        <v>43232</v>
      </c>
      <c r="B127" t="s">
        <v>4171</v>
      </c>
      <c r="C127" s="765">
        <v>2728.74</v>
      </c>
      <c r="D127" s="765">
        <v>2728.74</v>
      </c>
      <c r="E127" s="765">
        <v>28944.33</v>
      </c>
      <c r="I127" s="765">
        <v>2728.74</v>
      </c>
    </row>
    <row r="128" spans="1:9">
      <c r="A128" s="785">
        <v>43232</v>
      </c>
      <c r="B128" t="s">
        <v>4172</v>
      </c>
      <c r="C128" s="765">
        <v>5592.42</v>
      </c>
      <c r="D128" s="765">
        <v>5592.42</v>
      </c>
      <c r="E128" s="765">
        <v>34536.75</v>
      </c>
      <c r="I128" s="765">
        <v>5592.42</v>
      </c>
    </row>
    <row r="129" spans="1:9">
      <c r="A129" s="785">
        <v>43232</v>
      </c>
      <c r="B129" t="s">
        <v>4173</v>
      </c>
      <c r="C129" s="765">
        <v>2023.7</v>
      </c>
      <c r="D129" s="765">
        <v>2023.7</v>
      </c>
      <c r="E129" s="765">
        <v>36560.449999999997</v>
      </c>
      <c r="I129" s="765">
        <v>2023.7</v>
      </c>
    </row>
    <row r="130" spans="1:9">
      <c r="A130" s="785">
        <v>43232</v>
      </c>
      <c r="B130" t="s">
        <v>4174</v>
      </c>
      <c r="C130" s="765">
        <v>2728.74</v>
      </c>
      <c r="D130" s="765">
        <v>2728.74</v>
      </c>
      <c r="E130" s="765">
        <v>39289.19</v>
      </c>
      <c r="I130" s="765">
        <v>2728.74</v>
      </c>
    </row>
    <row r="131" spans="1:9">
      <c r="A131" s="785">
        <v>43232</v>
      </c>
      <c r="B131" t="s">
        <v>4175</v>
      </c>
      <c r="C131" s="765">
        <v>5443.76</v>
      </c>
      <c r="D131" s="765">
        <v>5443.76</v>
      </c>
      <c r="E131" s="765">
        <v>44732.95</v>
      </c>
      <c r="I131" s="765">
        <v>5443.76</v>
      </c>
    </row>
    <row r="132" spans="1:9">
      <c r="A132" s="785">
        <v>43232</v>
      </c>
      <c r="B132" t="s">
        <v>4176</v>
      </c>
      <c r="C132" s="765">
        <v>2023.7</v>
      </c>
      <c r="D132" s="765">
        <v>2023.7</v>
      </c>
      <c r="E132" s="765">
        <v>46756.65</v>
      </c>
      <c r="I132" s="765">
        <v>2023.7</v>
      </c>
    </row>
    <row r="133" spans="1:9">
      <c r="A133" s="785">
        <v>43232</v>
      </c>
      <c r="B133" t="s">
        <v>4177</v>
      </c>
      <c r="C133" s="765">
        <v>2837.88</v>
      </c>
      <c r="D133" s="765">
        <v>2837.88</v>
      </c>
      <c r="E133" s="765">
        <v>49594.53</v>
      </c>
      <c r="I133" s="765">
        <v>2837.88</v>
      </c>
    </row>
    <row r="134" spans="1:9">
      <c r="A134" s="785">
        <v>43232</v>
      </c>
      <c r="B134" t="s">
        <v>4178</v>
      </c>
      <c r="C134" s="765">
        <v>5363.34</v>
      </c>
      <c r="D134" s="765">
        <v>5363.34</v>
      </c>
      <c r="E134" s="765">
        <v>54957.87</v>
      </c>
      <c r="I134" s="765">
        <v>5363.34</v>
      </c>
    </row>
    <row r="135" spans="1:9">
      <c r="A135" s="785">
        <v>43232</v>
      </c>
      <c r="B135" t="s">
        <v>4179</v>
      </c>
      <c r="C135" s="765">
        <v>2104.65</v>
      </c>
      <c r="D135" s="765">
        <v>2104.65</v>
      </c>
      <c r="E135" s="765">
        <v>57062.52</v>
      </c>
      <c r="I135" s="765">
        <v>2104.65</v>
      </c>
    </row>
    <row r="136" spans="1:9">
      <c r="A136" s="785">
        <v>43232</v>
      </c>
      <c r="B136" t="s">
        <v>4180</v>
      </c>
      <c r="C136" s="765">
        <v>2837.88</v>
      </c>
      <c r="D136" s="765">
        <v>2837.88</v>
      </c>
      <c r="E136" s="765">
        <v>59900.4</v>
      </c>
      <c r="I136" s="765">
        <v>2837.88</v>
      </c>
    </row>
    <row r="137" spans="1:9">
      <c r="A137" s="785">
        <v>43232</v>
      </c>
      <c r="B137" t="s">
        <v>4181</v>
      </c>
      <c r="C137" s="765">
        <v>5495.44</v>
      </c>
      <c r="D137" s="765">
        <v>5495.44</v>
      </c>
      <c r="E137" s="765">
        <v>65395.839999999997</v>
      </c>
      <c r="I137" s="765">
        <v>5495.44</v>
      </c>
    </row>
    <row r="138" spans="1:9">
      <c r="A138" s="785">
        <v>43232</v>
      </c>
      <c r="B138" t="s">
        <v>4183</v>
      </c>
      <c r="C138" s="765">
        <v>2837.88</v>
      </c>
      <c r="D138" s="765">
        <v>2837.88</v>
      </c>
      <c r="E138" s="765">
        <v>68233.72</v>
      </c>
      <c r="I138" s="765">
        <v>2837.88</v>
      </c>
    </row>
    <row r="139" spans="1:9">
      <c r="A139" s="785">
        <v>43232</v>
      </c>
      <c r="B139" t="s">
        <v>4184</v>
      </c>
      <c r="C139" s="765">
        <v>5003.57</v>
      </c>
      <c r="D139" s="765">
        <v>5003.57</v>
      </c>
      <c r="E139" s="765">
        <v>73237.289999999994</v>
      </c>
      <c r="I139" s="765">
        <v>5003.57</v>
      </c>
    </row>
    <row r="140" spans="1:9">
      <c r="A140" s="785">
        <v>43232</v>
      </c>
      <c r="B140" t="s">
        <v>4185</v>
      </c>
      <c r="C140" s="765">
        <v>2104.65</v>
      </c>
      <c r="D140" s="765">
        <v>2104.65</v>
      </c>
      <c r="E140" s="765">
        <v>75341.94</v>
      </c>
      <c r="I140" s="765">
        <v>2104.65</v>
      </c>
    </row>
    <row r="141" spans="1:9">
      <c r="A141" s="785">
        <v>43232</v>
      </c>
      <c r="B141" t="s">
        <v>4186</v>
      </c>
      <c r="C141" s="765">
        <v>2837.88</v>
      </c>
      <c r="D141" s="765">
        <v>2837.88</v>
      </c>
      <c r="E141" s="765">
        <v>78179.820000000007</v>
      </c>
      <c r="I141" s="765">
        <v>2837.88</v>
      </c>
    </row>
    <row r="142" spans="1:9">
      <c r="A142" s="785">
        <v>43232</v>
      </c>
      <c r="B142" t="s">
        <v>4187</v>
      </c>
      <c r="C142" s="765">
        <v>5383.01</v>
      </c>
      <c r="D142" s="765">
        <v>5383.01</v>
      </c>
      <c r="E142" s="765">
        <v>83562.83</v>
      </c>
      <c r="I142" s="765">
        <v>5383.01</v>
      </c>
    </row>
    <row r="143" spans="1:9">
      <c r="A143" s="785">
        <v>43232</v>
      </c>
      <c r="B143" t="s">
        <v>4188</v>
      </c>
      <c r="C143" s="765">
        <v>2104.65</v>
      </c>
      <c r="D143" s="765">
        <v>2104.65</v>
      </c>
      <c r="E143" s="765">
        <v>85667.48</v>
      </c>
      <c r="I143" s="765">
        <v>2104.65</v>
      </c>
    </row>
    <row r="144" spans="1:9">
      <c r="A144" s="785">
        <v>43232</v>
      </c>
      <c r="B144" t="s">
        <v>4189</v>
      </c>
      <c r="C144" s="765">
        <v>2837.88</v>
      </c>
      <c r="D144" s="765">
        <v>2837.88</v>
      </c>
      <c r="E144" s="765">
        <v>88505.36</v>
      </c>
      <c r="I144" s="765">
        <v>2837.88</v>
      </c>
    </row>
    <row r="145" spans="1:9">
      <c r="A145" s="785">
        <v>43232</v>
      </c>
      <c r="B145" t="s">
        <v>4190</v>
      </c>
      <c r="C145" s="765">
        <v>6726.52</v>
      </c>
      <c r="D145" s="765">
        <v>6726.52</v>
      </c>
      <c r="E145" s="765">
        <v>95231.88</v>
      </c>
      <c r="I145" s="765">
        <v>6726.52</v>
      </c>
    </row>
    <row r="146" spans="1:9">
      <c r="A146" s="785">
        <v>43232</v>
      </c>
      <c r="B146" t="s">
        <v>4191</v>
      </c>
      <c r="C146" s="765">
        <v>2104.65</v>
      </c>
      <c r="D146" s="765">
        <v>2104.65</v>
      </c>
      <c r="E146" s="765">
        <v>97336.53</v>
      </c>
      <c r="I146" s="765">
        <v>2104.65</v>
      </c>
    </row>
    <row r="147" spans="1:9">
      <c r="A147" s="785">
        <v>43232</v>
      </c>
      <c r="B147" t="s">
        <v>4192</v>
      </c>
      <c r="C147" s="765">
        <v>2837.88</v>
      </c>
      <c r="D147" s="765">
        <v>2837.88</v>
      </c>
      <c r="E147" s="765">
        <v>100174.41</v>
      </c>
      <c r="I147" s="765">
        <v>2837.88</v>
      </c>
    </row>
    <row r="148" spans="1:9">
      <c r="A148" s="785">
        <v>43232</v>
      </c>
      <c r="B148" t="s">
        <v>4193</v>
      </c>
      <c r="C148" s="765">
        <v>4767.47</v>
      </c>
      <c r="D148" s="765">
        <v>4767.47</v>
      </c>
      <c r="E148" s="765">
        <v>104941.88</v>
      </c>
      <c r="I148" s="765">
        <v>4767.47</v>
      </c>
    </row>
    <row r="149" spans="1:9">
      <c r="A149" s="785">
        <v>43232</v>
      </c>
      <c r="B149" t="s">
        <v>4194</v>
      </c>
      <c r="C149" s="765">
        <v>2104.65</v>
      </c>
      <c r="D149" s="765">
        <v>2104.65</v>
      </c>
      <c r="E149" s="765">
        <v>107046.53</v>
      </c>
      <c r="I149" s="765">
        <v>2104.65</v>
      </c>
    </row>
    <row r="150" spans="1:9">
      <c r="A150" s="785">
        <v>43232</v>
      </c>
      <c r="B150" t="s">
        <v>4195</v>
      </c>
      <c r="C150" s="765">
        <v>2837.88</v>
      </c>
      <c r="D150" s="765">
        <v>2837.88</v>
      </c>
      <c r="E150" s="765">
        <v>109884.41</v>
      </c>
      <c r="I150" s="765">
        <v>2837.88</v>
      </c>
    </row>
    <row r="151" spans="1:9">
      <c r="A151" s="785">
        <v>43232</v>
      </c>
      <c r="B151" t="s">
        <v>4196</v>
      </c>
      <c r="C151" s="765">
        <v>4756.2299999999996</v>
      </c>
      <c r="D151" s="765">
        <v>4756.2299999999996</v>
      </c>
      <c r="E151" s="765">
        <v>114640.64</v>
      </c>
      <c r="I151" s="765">
        <v>4756.2299999999996</v>
      </c>
    </row>
    <row r="152" spans="1:9">
      <c r="A152" s="785">
        <v>43232</v>
      </c>
      <c r="B152" t="s">
        <v>4197</v>
      </c>
      <c r="C152" s="765">
        <v>2104.65</v>
      </c>
      <c r="D152" s="765">
        <v>2104.65</v>
      </c>
      <c r="E152" s="765">
        <v>116745.29</v>
      </c>
      <c r="I152" s="765">
        <v>2104.65</v>
      </c>
    </row>
    <row r="153" spans="1:9">
      <c r="A153" s="785">
        <v>43232</v>
      </c>
      <c r="B153" t="s">
        <v>4198</v>
      </c>
      <c r="C153" s="765">
        <v>2837.88</v>
      </c>
      <c r="D153" s="765">
        <v>2837.88</v>
      </c>
      <c r="E153" s="765">
        <v>119583.17</v>
      </c>
      <c r="I153" s="765">
        <v>2837.88</v>
      </c>
    </row>
    <row r="154" spans="1:9">
      <c r="A154" s="785">
        <v>43232</v>
      </c>
      <c r="B154" t="s">
        <v>4199</v>
      </c>
      <c r="C154" s="765">
        <v>5236.8500000000004</v>
      </c>
      <c r="D154" s="765">
        <v>5236.8500000000004</v>
      </c>
      <c r="E154" s="765">
        <v>124820.02</v>
      </c>
      <c r="I154" s="765">
        <v>5236.8500000000004</v>
      </c>
    </row>
    <row r="155" spans="1:9">
      <c r="A155" s="785">
        <v>43232</v>
      </c>
      <c r="B155" t="s">
        <v>4200</v>
      </c>
      <c r="C155" s="765">
        <v>2104.65</v>
      </c>
      <c r="D155" s="765">
        <v>2104.65</v>
      </c>
      <c r="E155" s="765">
        <v>126924.67</v>
      </c>
      <c r="I155" s="765">
        <v>2104.65</v>
      </c>
    </row>
    <row r="156" spans="1:9">
      <c r="A156" s="785">
        <v>43232</v>
      </c>
      <c r="B156" t="s">
        <v>4201</v>
      </c>
      <c r="C156" s="765">
        <v>2837.88</v>
      </c>
      <c r="D156" s="765">
        <v>2837.88</v>
      </c>
      <c r="E156" s="765">
        <v>129762.55</v>
      </c>
      <c r="I156" s="765">
        <v>2837.88</v>
      </c>
    </row>
    <row r="157" spans="1:9">
      <c r="A157" s="785">
        <v>43232</v>
      </c>
      <c r="B157" t="s">
        <v>4202</v>
      </c>
      <c r="C157" s="765">
        <v>4879.8999999999996</v>
      </c>
      <c r="D157" s="765">
        <v>4879.8999999999996</v>
      </c>
      <c r="E157" s="765">
        <v>134642.45000000001</v>
      </c>
      <c r="I157" s="765">
        <v>4879.8999999999996</v>
      </c>
    </row>
    <row r="158" spans="1:9">
      <c r="A158" s="785">
        <v>43232</v>
      </c>
      <c r="B158" t="s">
        <v>4203</v>
      </c>
      <c r="C158" s="765">
        <v>2104.65</v>
      </c>
      <c r="D158" s="765">
        <v>2104.65</v>
      </c>
      <c r="E158" s="765">
        <v>136747.1</v>
      </c>
      <c r="I158" s="765">
        <v>2104.65</v>
      </c>
    </row>
    <row r="159" spans="1:9">
      <c r="A159" s="785">
        <v>43232</v>
      </c>
      <c r="B159" t="s">
        <v>4204</v>
      </c>
      <c r="C159" s="765">
        <v>2837.88</v>
      </c>
      <c r="D159" s="765">
        <v>2837.88</v>
      </c>
      <c r="E159" s="765">
        <v>139584.98000000001</v>
      </c>
      <c r="I159" s="765">
        <v>2837.88</v>
      </c>
    </row>
    <row r="160" spans="1:9">
      <c r="A160" s="785">
        <v>43232</v>
      </c>
      <c r="B160" t="s">
        <v>4205</v>
      </c>
      <c r="C160" s="765">
        <v>4936.1099999999997</v>
      </c>
      <c r="D160" s="765">
        <v>4936.1099999999997</v>
      </c>
      <c r="E160" s="765">
        <v>144521.09</v>
      </c>
      <c r="I160" s="765">
        <v>4936.1099999999997</v>
      </c>
    </row>
    <row r="161" spans="1:9">
      <c r="A161" s="785">
        <v>43232</v>
      </c>
      <c r="B161" t="s">
        <v>4206</v>
      </c>
      <c r="C161" s="765">
        <v>2104.65</v>
      </c>
      <c r="D161" s="765">
        <v>2104.65</v>
      </c>
      <c r="E161" s="765">
        <v>146625.74</v>
      </c>
      <c r="I161" s="765">
        <v>2104.65</v>
      </c>
    </row>
    <row r="162" spans="1:9">
      <c r="A162" s="785">
        <v>43232</v>
      </c>
      <c r="B162" t="s">
        <v>4207</v>
      </c>
      <c r="C162" s="765">
        <v>2837.88</v>
      </c>
      <c r="D162" s="765">
        <v>2837.88</v>
      </c>
      <c r="E162" s="765">
        <v>149463.62</v>
      </c>
      <c r="I162" s="765">
        <v>2837.88</v>
      </c>
    </row>
    <row r="163" spans="1:9">
      <c r="A163" s="785">
        <v>43232</v>
      </c>
      <c r="B163" t="s">
        <v>4208</v>
      </c>
      <c r="C163" s="765">
        <v>5009.1899999999996</v>
      </c>
      <c r="D163" s="765">
        <v>5009.1899999999996</v>
      </c>
      <c r="E163" s="765">
        <v>154472.81</v>
      </c>
      <c r="I163" s="765">
        <v>5009.1899999999996</v>
      </c>
    </row>
    <row r="164" spans="1:9">
      <c r="A164" s="785">
        <v>43232</v>
      </c>
      <c r="B164" t="s">
        <v>4209</v>
      </c>
      <c r="C164" s="765">
        <v>2104.65</v>
      </c>
      <c r="D164" s="765">
        <v>2104.65</v>
      </c>
      <c r="E164" s="765">
        <v>156577.46</v>
      </c>
      <c r="I164" s="765">
        <v>2104.65</v>
      </c>
    </row>
    <row r="165" spans="1:9">
      <c r="A165" s="785">
        <v>43232</v>
      </c>
      <c r="B165" t="s">
        <v>4210</v>
      </c>
      <c r="C165" s="765">
        <v>2837.88</v>
      </c>
      <c r="D165" s="765">
        <v>2837.88</v>
      </c>
      <c r="E165" s="765">
        <v>159415.34</v>
      </c>
      <c r="I165" s="765">
        <v>2837.88</v>
      </c>
    </row>
    <row r="166" spans="1:9">
      <c r="A166" s="785">
        <v>43232</v>
      </c>
      <c r="B166" t="s">
        <v>4211</v>
      </c>
      <c r="C166" s="765">
        <v>5003.57</v>
      </c>
      <c r="D166" s="765">
        <v>5003.57</v>
      </c>
      <c r="E166" s="765">
        <v>164418.91</v>
      </c>
      <c r="I166" s="765">
        <v>5003.57</v>
      </c>
    </row>
    <row r="167" spans="1:9">
      <c r="A167" s="785">
        <v>43232</v>
      </c>
      <c r="B167" t="s">
        <v>4212</v>
      </c>
      <c r="C167" s="765">
        <v>2104.65</v>
      </c>
      <c r="D167" s="765">
        <v>2104.65</v>
      </c>
      <c r="E167" s="765">
        <v>166523.56</v>
      </c>
      <c r="I167" s="765">
        <v>2104.65</v>
      </c>
    </row>
    <row r="168" spans="1:9">
      <c r="A168" s="785">
        <v>43232</v>
      </c>
      <c r="B168" t="s">
        <v>4213</v>
      </c>
      <c r="C168" s="765">
        <v>2965.57</v>
      </c>
      <c r="D168" s="765">
        <v>2965.57</v>
      </c>
      <c r="E168" s="765">
        <v>169489.13</v>
      </c>
      <c r="I168" s="765">
        <v>2965.57</v>
      </c>
    </row>
    <row r="169" spans="1:9">
      <c r="A169" s="785">
        <v>43232</v>
      </c>
      <c r="B169" t="s">
        <v>4214</v>
      </c>
      <c r="C169" s="765">
        <v>5657.51</v>
      </c>
      <c r="D169" s="765">
        <v>5657.51</v>
      </c>
      <c r="E169" s="765">
        <v>175146.64</v>
      </c>
      <c r="I169" s="765">
        <v>5657.51</v>
      </c>
    </row>
    <row r="170" spans="1:9">
      <c r="A170" s="785">
        <v>43232</v>
      </c>
      <c r="B170" t="s">
        <v>4215</v>
      </c>
      <c r="C170" s="765">
        <v>2199.35</v>
      </c>
      <c r="D170" s="765">
        <v>2199.35</v>
      </c>
      <c r="E170" s="765">
        <v>177345.99</v>
      </c>
      <c r="I170" s="765">
        <v>2199.35</v>
      </c>
    </row>
    <row r="171" spans="1:9">
      <c r="A171" s="785">
        <v>43232</v>
      </c>
      <c r="B171" t="s">
        <v>4216</v>
      </c>
      <c r="C171" s="765">
        <v>2965.57</v>
      </c>
      <c r="D171" s="765">
        <v>2965.57</v>
      </c>
      <c r="E171" s="765">
        <v>180311.56</v>
      </c>
      <c r="I171" s="765">
        <v>2965.57</v>
      </c>
    </row>
    <row r="172" spans="1:9">
      <c r="A172" s="785">
        <v>43232</v>
      </c>
      <c r="B172" t="s">
        <v>4217</v>
      </c>
      <c r="C172" s="765">
        <v>10826.84</v>
      </c>
      <c r="D172" s="765">
        <v>10826.84</v>
      </c>
      <c r="E172" s="765">
        <v>191138.4</v>
      </c>
      <c r="I172" s="765">
        <v>10826.84</v>
      </c>
    </row>
    <row r="173" spans="1:9">
      <c r="A173" s="785">
        <v>43232</v>
      </c>
      <c r="B173" t="s">
        <v>4218</v>
      </c>
      <c r="C173" s="765">
        <v>2199.35</v>
      </c>
      <c r="D173" s="765">
        <v>2199.35</v>
      </c>
      <c r="E173" s="765">
        <v>193337.75</v>
      </c>
      <c r="I173" s="765">
        <v>2199.35</v>
      </c>
    </row>
    <row r="174" spans="1:9">
      <c r="A174" s="785">
        <v>43232</v>
      </c>
      <c r="B174" t="s">
        <v>4219</v>
      </c>
      <c r="C174" s="765">
        <v>2965.57</v>
      </c>
      <c r="D174" s="765">
        <v>2965.57</v>
      </c>
      <c r="E174" s="765">
        <v>196303.32</v>
      </c>
      <c r="I174" s="765">
        <v>2965.57</v>
      </c>
    </row>
    <row r="175" spans="1:9">
      <c r="A175" s="785">
        <v>43232</v>
      </c>
      <c r="B175" t="s">
        <v>4220</v>
      </c>
      <c r="C175" s="765">
        <v>6568.01</v>
      </c>
      <c r="D175" s="765">
        <v>6568.01</v>
      </c>
      <c r="E175" s="765">
        <v>202871.33</v>
      </c>
      <c r="I175" s="765">
        <v>6568.01</v>
      </c>
    </row>
    <row r="176" spans="1:9">
      <c r="A176" s="785">
        <v>43232</v>
      </c>
      <c r="B176" t="s">
        <v>4221</v>
      </c>
      <c r="C176" s="765">
        <v>2199.35</v>
      </c>
      <c r="D176" s="765">
        <v>2199.35</v>
      </c>
      <c r="E176" s="765">
        <v>205070.68</v>
      </c>
      <c r="I176" s="765">
        <v>2199.35</v>
      </c>
    </row>
    <row r="177" spans="1:9">
      <c r="A177" s="785">
        <v>43232</v>
      </c>
      <c r="B177" t="s">
        <v>4222</v>
      </c>
      <c r="C177" s="765">
        <v>2965.57</v>
      </c>
      <c r="D177" s="765">
        <v>2965.57</v>
      </c>
      <c r="E177" s="765">
        <v>208036.25</v>
      </c>
      <c r="I177" s="765">
        <v>2965.57</v>
      </c>
    </row>
    <row r="178" spans="1:9">
      <c r="A178" s="785">
        <v>43232</v>
      </c>
      <c r="B178" t="s">
        <v>4223</v>
      </c>
      <c r="C178" s="765">
        <v>7070.26</v>
      </c>
      <c r="D178" s="765">
        <v>7070.26</v>
      </c>
      <c r="E178" s="765">
        <v>215106.51</v>
      </c>
      <c r="I178" s="765">
        <v>7070.26</v>
      </c>
    </row>
    <row r="179" spans="1:9">
      <c r="A179" s="785">
        <v>43232</v>
      </c>
      <c r="B179" t="s">
        <v>4224</v>
      </c>
      <c r="C179" s="765">
        <v>2199.35</v>
      </c>
      <c r="D179" s="765">
        <v>2199.35</v>
      </c>
      <c r="E179" s="765">
        <v>217305.86</v>
      </c>
      <c r="I179" s="765">
        <v>2199.35</v>
      </c>
    </row>
    <row r="180" spans="1:9">
      <c r="A180" s="785">
        <v>43232</v>
      </c>
      <c r="B180" t="s">
        <v>4225</v>
      </c>
      <c r="C180" s="765">
        <v>2965.57</v>
      </c>
      <c r="D180" s="765">
        <v>2965.57</v>
      </c>
      <c r="E180" s="765">
        <v>220271.43</v>
      </c>
      <c r="I180" s="765">
        <v>2965.57</v>
      </c>
    </row>
    <row r="181" spans="1:9">
      <c r="A181" s="785">
        <v>43232</v>
      </c>
      <c r="B181" t="s">
        <v>4226</v>
      </c>
      <c r="C181" s="765">
        <v>5713.31</v>
      </c>
      <c r="D181" s="765">
        <v>5713.31</v>
      </c>
      <c r="E181" s="765">
        <v>225984.74</v>
      </c>
      <c r="I181" s="765">
        <v>5713.31</v>
      </c>
    </row>
    <row r="182" spans="1:9">
      <c r="A182" s="785">
        <v>43232</v>
      </c>
      <c r="B182" t="s">
        <v>4227</v>
      </c>
      <c r="C182" s="765">
        <v>2199.35</v>
      </c>
      <c r="D182" s="765">
        <v>2199.35</v>
      </c>
      <c r="E182" s="765">
        <v>228184.09</v>
      </c>
      <c r="I182" s="765">
        <v>2199.35</v>
      </c>
    </row>
    <row r="183" spans="1:9">
      <c r="A183" s="785">
        <v>43232</v>
      </c>
      <c r="B183" t="s">
        <v>4228</v>
      </c>
      <c r="C183" s="765">
        <v>2965.57</v>
      </c>
      <c r="D183" s="765">
        <v>2965.57</v>
      </c>
      <c r="E183" s="765">
        <v>231149.66</v>
      </c>
      <c r="I183" s="765">
        <v>2965.57</v>
      </c>
    </row>
    <row r="184" spans="1:9">
      <c r="A184" s="785">
        <v>43232</v>
      </c>
      <c r="B184" t="s">
        <v>4229</v>
      </c>
      <c r="C184" s="765">
        <v>6215.56</v>
      </c>
      <c r="D184" s="765">
        <v>6215.56</v>
      </c>
      <c r="E184" s="765">
        <v>237365.22</v>
      </c>
      <c r="I184" s="765">
        <v>6215.56</v>
      </c>
    </row>
    <row r="185" spans="1:9">
      <c r="A185" s="785">
        <v>43232</v>
      </c>
      <c r="B185" t="s">
        <v>4230</v>
      </c>
      <c r="C185" s="765">
        <v>2199.35</v>
      </c>
      <c r="D185" s="765">
        <v>2199.35</v>
      </c>
      <c r="E185" s="765">
        <v>239564.57</v>
      </c>
      <c r="I185" s="765">
        <v>2199.35</v>
      </c>
    </row>
    <row r="186" spans="1:9">
      <c r="A186" s="785">
        <v>43232</v>
      </c>
      <c r="B186" t="s">
        <v>4231</v>
      </c>
      <c r="C186" s="765">
        <v>2965.57</v>
      </c>
      <c r="D186" s="765">
        <v>2965.57</v>
      </c>
      <c r="E186" s="765">
        <v>242530.14</v>
      </c>
      <c r="I186" s="765">
        <v>2965.57</v>
      </c>
    </row>
    <row r="187" spans="1:9">
      <c r="A187" s="785">
        <v>43232</v>
      </c>
      <c r="B187" t="s">
        <v>4232</v>
      </c>
      <c r="C187" s="765">
        <v>6612.07</v>
      </c>
      <c r="D187" s="765">
        <v>6612.07</v>
      </c>
      <c r="E187" s="765">
        <v>249142.21</v>
      </c>
      <c r="I187" s="765">
        <v>6612.07</v>
      </c>
    </row>
    <row r="188" spans="1:9">
      <c r="A188" s="785">
        <v>43232</v>
      </c>
      <c r="B188" t="s">
        <v>4233</v>
      </c>
      <c r="C188" s="765">
        <v>2199.35</v>
      </c>
      <c r="D188" s="765">
        <v>2199.35</v>
      </c>
      <c r="E188" s="765">
        <v>251341.56</v>
      </c>
      <c r="I188" s="765">
        <v>2199.35</v>
      </c>
    </row>
    <row r="189" spans="1:9">
      <c r="A189" s="785">
        <v>43232</v>
      </c>
      <c r="B189" t="s">
        <v>4234</v>
      </c>
      <c r="C189" s="765">
        <v>2965.57</v>
      </c>
      <c r="D189" s="765">
        <v>2965.57</v>
      </c>
      <c r="E189" s="765">
        <v>254307.13</v>
      </c>
      <c r="I189" s="765">
        <v>2965.57</v>
      </c>
    </row>
    <row r="190" spans="1:9">
      <c r="A190" s="785">
        <v>43232</v>
      </c>
      <c r="B190" t="s">
        <v>4235</v>
      </c>
      <c r="C190" s="765">
        <v>6024.65</v>
      </c>
      <c r="D190" s="765">
        <v>6024.65</v>
      </c>
      <c r="E190" s="765">
        <v>260331.78</v>
      </c>
      <c r="I190" s="765">
        <v>6024.65</v>
      </c>
    </row>
    <row r="191" spans="1:9">
      <c r="A191" s="785">
        <v>43232</v>
      </c>
      <c r="B191" t="s">
        <v>4236</v>
      </c>
      <c r="C191" s="765">
        <v>2199.35</v>
      </c>
      <c r="D191" s="765">
        <v>2199.35</v>
      </c>
      <c r="E191" s="765">
        <v>262531.13</v>
      </c>
      <c r="I191" s="765">
        <v>2199.35</v>
      </c>
    </row>
    <row r="192" spans="1:9">
      <c r="A192" s="785">
        <v>43232</v>
      </c>
      <c r="B192" t="s">
        <v>4237</v>
      </c>
      <c r="C192" s="765">
        <v>2965.57</v>
      </c>
      <c r="D192" s="765">
        <v>2965.57</v>
      </c>
      <c r="E192" s="765">
        <v>265496.7</v>
      </c>
      <c r="I192" s="765">
        <v>2965.57</v>
      </c>
    </row>
    <row r="193" spans="1:9">
      <c r="A193" s="785">
        <v>43232</v>
      </c>
      <c r="B193" t="s">
        <v>4238</v>
      </c>
      <c r="C193" s="765">
        <v>5863.1</v>
      </c>
      <c r="D193" s="765">
        <v>5863.1</v>
      </c>
      <c r="E193" s="765">
        <v>271359.8</v>
      </c>
      <c r="I193" s="765">
        <v>5863.1</v>
      </c>
    </row>
    <row r="194" spans="1:9">
      <c r="A194" s="785">
        <v>43232</v>
      </c>
      <c r="B194" t="s">
        <v>4239</v>
      </c>
      <c r="C194" s="765">
        <v>2199.35</v>
      </c>
      <c r="D194" s="765">
        <v>2199.35</v>
      </c>
      <c r="E194" s="765">
        <v>273559.15000000002</v>
      </c>
      <c r="I194" s="765">
        <v>2199.35</v>
      </c>
    </row>
    <row r="195" spans="1:9">
      <c r="A195" s="785">
        <v>43232</v>
      </c>
      <c r="B195" t="s">
        <v>4241</v>
      </c>
      <c r="C195" s="765">
        <v>6068.7</v>
      </c>
      <c r="D195" s="765">
        <v>6068.7</v>
      </c>
      <c r="E195" s="765">
        <v>279627.84999999998</v>
      </c>
      <c r="I195" s="765">
        <v>6068.7</v>
      </c>
    </row>
    <row r="196" spans="1:9">
      <c r="A196" s="785">
        <v>43232</v>
      </c>
      <c r="B196" t="s">
        <v>4242</v>
      </c>
      <c r="C196" s="765">
        <v>2199.35</v>
      </c>
      <c r="D196" s="765">
        <v>2199.35</v>
      </c>
      <c r="E196" s="765">
        <v>281827.20000000001</v>
      </c>
      <c r="I196" s="765">
        <v>2199.35</v>
      </c>
    </row>
    <row r="197" spans="1:9">
      <c r="A197" s="785">
        <v>43232</v>
      </c>
      <c r="B197" t="s">
        <v>4243</v>
      </c>
      <c r="C197" s="765">
        <v>2965.57</v>
      </c>
      <c r="D197" s="765">
        <v>2965.57</v>
      </c>
      <c r="E197" s="765">
        <v>284792.77</v>
      </c>
      <c r="I197" s="765">
        <v>2965.57</v>
      </c>
    </row>
    <row r="198" spans="1:9">
      <c r="A198" s="785">
        <v>43232</v>
      </c>
      <c r="B198" t="s">
        <v>4244</v>
      </c>
      <c r="C198" s="765">
        <v>5716.25</v>
      </c>
      <c r="D198" s="765">
        <v>5716.25</v>
      </c>
      <c r="E198" s="765">
        <v>290509.02</v>
      </c>
      <c r="I198" s="765">
        <v>5716.25</v>
      </c>
    </row>
    <row r="199" spans="1:9">
      <c r="A199" s="785">
        <v>43232</v>
      </c>
      <c r="B199" t="s">
        <v>4245</v>
      </c>
      <c r="C199" s="765">
        <v>2199.35</v>
      </c>
      <c r="D199" s="765">
        <v>2199.35</v>
      </c>
      <c r="E199" s="765">
        <v>292708.37</v>
      </c>
      <c r="I199" s="765">
        <v>2199.35</v>
      </c>
    </row>
    <row r="200" spans="1:9">
      <c r="A200" s="785">
        <v>43232</v>
      </c>
      <c r="B200" t="s">
        <v>4246</v>
      </c>
      <c r="C200" s="765">
        <v>2965.57</v>
      </c>
      <c r="D200" s="765">
        <v>2965.57</v>
      </c>
      <c r="E200" s="765">
        <v>295673.94</v>
      </c>
      <c r="I200" s="765">
        <v>2965.57</v>
      </c>
    </row>
    <row r="201" spans="1:9">
      <c r="A201" s="785">
        <v>43232</v>
      </c>
      <c r="B201" t="s">
        <v>4247</v>
      </c>
      <c r="C201" s="765">
        <v>2837.87</v>
      </c>
      <c r="D201" s="765">
        <v>2837.87</v>
      </c>
      <c r="E201" s="765">
        <v>298511.81</v>
      </c>
      <c r="I201" s="765">
        <v>2837.87</v>
      </c>
    </row>
    <row r="202" spans="1:9">
      <c r="A202" s="785">
        <v>43232</v>
      </c>
      <c r="B202" t="s">
        <v>4248</v>
      </c>
      <c r="C202" s="765">
        <v>2199.35</v>
      </c>
      <c r="D202" s="765">
        <v>2199.35</v>
      </c>
      <c r="E202" s="765">
        <v>300711.15999999997</v>
      </c>
      <c r="I202" s="765">
        <v>2199.35</v>
      </c>
    </row>
    <row r="203" spans="1:9">
      <c r="A203" s="785">
        <v>43232</v>
      </c>
      <c r="B203" t="s">
        <v>4249</v>
      </c>
      <c r="C203" s="765">
        <v>3084.17</v>
      </c>
      <c r="D203" s="765">
        <v>3084.17</v>
      </c>
      <c r="E203" s="765">
        <v>303795.33</v>
      </c>
      <c r="I203" s="765">
        <v>3084.17</v>
      </c>
    </row>
    <row r="204" spans="1:9">
      <c r="A204" s="785">
        <v>43232</v>
      </c>
      <c r="B204" t="s">
        <v>4250</v>
      </c>
      <c r="C204" s="765">
        <v>6066.73</v>
      </c>
      <c r="D204" s="765">
        <v>6066.73</v>
      </c>
      <c r="E204" s="765">
        <v>309862.06</v>
      </c>
      <c r="I204" s="765">
        <v>6066.73</v>
      </c>
    </row>
    <row r="205" spans="1:9">
      <c r="A205" s="785">
        <v>43232</v>
      </c>
      <c r="B205" t="s">
        <v>4251</v>
      </c>
      <c r="C205" s="765">
        <v>2287.31</v>
      </c>
      <c r="D205" s="765">
        <v>2287.31</v>
      </c>
      <c r="E205" s="765">
        <v>312149.37</v>
      </c>
      <c r="I205" s="765">
        <v>2287.31</v>
      </c>
    </row>
    <row r="206" spans="1:9">
      <c r="A206" s="785">
        <v>43232</v>
      </c>
      <c r="B206" t="s">
        <v>4252</v>
      </c>
      <c r="C206" s="765">
        <v>3084.17</v>
      </c>
      <c r="D206" s="765">
        <v>3084.17</v>
      </c>
      <c r="E206" s="765">
        <v>315233.53999999998</v>
      </c>
      <c r="I206" s="765">
        <v>3084.17</v>
      </c>
    </row>
    <row r="207" spans="1:9">
      <c r="A207" s="785">
        <v>43232</v>
      </c>
      <c r="B207" t="s">
        <v>4253</v>
      </c>
      <c r="C207" s="765">
        <v>2287.31</v>
      </c>
      <c r="D207" s="765">
        <v>2287.31</v>
      </c>
      <c r="E207" s="765">
        <v>317520.84999999998</v>
      </c>
      <c r="I207" s="765">
        <v>2287.31</v>
      </c>
    </row>
    <row r="208" spans="1:9">
      <c r="A208" s="785">
        <v>43232</v>
      </c>
      <c r="B208" t="s">
        <v>4254</v>
      </c>
      <c r="C208" s="765">
        <v>5944.56</v>
      </c>
      <c r="D208" s="765">
        <v>5944.56</v>
      </c>
      <c r="E208" s="765">
        <v>323465.40999999997</v>
      </c>
      <c r="I208" s="765">
        <v>5944.56</v>
      </c>
    </row>
    <row r="209" spans="1:9">
      <c r="A209" s="785">
        <v>43232</v>
      </c>
      <c r="B209" t="s">
        <v>4255</v>
      </c>
      <c r="C209" s="765">
        <v>3084.17</v>
      </c>
      <c r="D209" s="765">
        <v>3084.17</v>
      </c>
      <c r="E209" s="765">
        <v>326549.58</v>
      </c>
      <c r="I209" s="765">
        <v>3084.17</v>
      </c>
    </row>
    <row r="210" spans="1:9">
      <c r="A210" s="785">
        <v>43232</v>
      </c>
      <c r="B210" t="s">
        <v>4256</v>
      </c>
      <c r="C210" s="765">
        <v>2951.36</v>
      </c>
      <c r="D210" s="765">
        <v>2951.36</v>
      </c>
      <c r="E210" s="765">
        <v>329500.94</v>
      </c>
      <c r="I210" s="765">
        <v>2951.36</v>
      </c>
    </row>
    <row r="211" spans="1:9">
      <c r="A211" s="785">
        <v>43232</v>
      </c>
      <c r="B211" t="s">
        <v>4257</v>
      </c>
      <c r="C211" s="765">
        <v>2287.31</v>
      </c>
      <c r="D211" s="765">
        <v>2287.31</v>
      </c>
      <c r="E211" s="765">
        <v>331788.25</v>
      </c>
      <c r="I211" s="765">
        <v>2287.31</v>
      </c>
    </row>
    <row r="212" spans="1:9">
      <c r="A212" s="785">
        <v>43232</v>
      </c>
      <c r="B212" t="s">
        <v>4258</v>
      </c>
      <c r="C212" s="765">
        <v>3084.17</v>
      </c>
      <c r="D212" s="765">
        <v>3084.17</v>
      </c>
      <c r="E212" s="765">
        <v>334872.42</v>
      </c>
      <c r="I212" s="765">
        <v>3084.17</v>
      </c>
    </row>
    <row r="213" spans="1:9">
      <c r="A213" s="785">
        <v>43232</v>
      </c>
      <c r="B213" t="s">
        <v>4259</v>
      </c>
      <c r="C213" s="765">
        <v>6311.07</v>
      </c>
      <c r="D213" s="765">
        <v>6311.07</v>
      </c>
      <c r="E213" s="765">
        <v>341183.49</v>
      </c>
      <c r="I213" s="765">
        <v>6311.07</v>
      </c>
    </row>
    <row r="214" spans="1:9">
      <c r="A214" s="785">
        <v>43232</v>
      </c>
      <c r="B214" t="s">
        <v>4260</v>
      </c>
      <c r="C214" s="765">
        <v>2287.31</v>
      </c>
      <c r="D214" s="765">
        <v>2287.31</v>
      </c>
      <c r="E214" s="765">
        <v>343470.8</v>
      </c>
      <c r="I214" s="765">
        <v>2287.31</v>
      </c>
    </row>
    <row r="215" spans="1:9">
      <c r="A215" s="785">
        <v>43232</v>
      </c>
      <c r="B215" t="s">
        <v>4261</v>
      </c>
      <c r="C215" s="765">
        <v>3084.17</v>
      </c>
      <c r="D215" s="765">
        <v>3084.17</v>
      </c>
      <c r="E215" s="765">
        <v>346554.97</v>
      </c>
      <c r="I215" s="765">
        <v>3084.17</v>
      </c>
    </row>
    <row r="216" spans="1:9">
      <c r="A216" s="785">
        <v>43232</v>
      </c>
      <c r="B216" t="s">
        <v>4262</v>
      </c>
      <c r="C216" s="765">
        <v>5333.7</v>
      </c>
      <c r="D216" s="765">
        <v>5333.7</v>
      </c>
      <c r="E216" s="765">
        <v>351888.67</v>
      </c>
      <c r="I216" s="765">
        <v>5333.7</v>
      </c>
    </row>
    <row r="217" spans="1:9">
      <c r="A217" s="785">
        <v>43232</v>
      </c>
      <c r="B217" t="s">
        <v>4263</v>
      </c>
      <c r="C217" s="765">
        <v>2287.31</v>
      </c>
      <c r="D217" s="765">
        <v>2287.31</v>
      </c>
      <c r="E217" s="765">
        <v>354175.98</v>
      </c>
      <c r="I217" s="765">
        <v>2287.31</v>
      </c>
    </row>
    <row r="218" spans="1:9">
      <c r="A218" s="785">
        <v>43232</v>
      </c>
      <c r="B218" t="s">
        <v>4264</v>
      </c>
      <c r="C218" s="765">
        <v>3084.17</v>
      </c>
      <c r="D218" s="765">
        <v>3084.17</v>
      </c>
      <c r="E218" s="765">
        <v>357260.15</v>
      </c>
      <c r="I218" s="765">
        <v>3084.17</v>
      </c>
    </row>
    <row r="219" spans="1:9">
      <c r="A219" s="785">
        <v>43232</v>
      </c>
      <c r="B219" t="s">
        <v>4265</v>
      </c>
      <c r="C219" s="765">
        <v>2951.36</v>
      </c>
      <c r="D219" s="765">
        <v>2951.36</v>
      </c>
      <c r="E219" s="765">
        <v>360211.51</v>
      </c>
      <c r="I219" s="765">
        <v>2951.36</v>
      </c>
    </row>
    <row r="221" spans="1:9">
      <c r="A221" t="s">
        <v>4138</v>
      </c>
      <c r="B221" s="765">
        <v>362526.97</v>
      </c>
      <c r="C221" s="765">
        <v>360211.51</v>
      </c>
      <c r="D221">
        <v>0</v>
      </c>
      <c r="E221">
        <v>0</v>
      </c>
      <c r="F221">
        <v>0</v>
      </c>
      <c r="G221" s="765">
        <v>360211.51</v>
      </c>
    </row>
    <row r="223" spans="1:9">
      <c r="A223">
        <v>11109</v>
      </c>
      <c r="B223" t="s">
        <v>6276</v>
      </c>
    </row>
    <row r="224" spans="1:9">
      <c r="A224" s="785">
        <v>44208</v>
      </c>
      <c r="B224" t="s">
        <v>7104</v>
      </c>
      <c r="C224" s="765">
        <v>3558.86</v>
      </c>
      <c r="D224" s="765">
        <v>3558.86</v>
      </c>
      <c r="E224" s="765">
        <v>3558.86</v>
      </c>
      <c r="H224" s="765">
        <v>3558.86</v>
      </c>
    </row>
    <row r="226" spans="1:9">
      <c r="A226" t="s">
        <v>4138</v>
      </c>
      <c r="B226" s="765">
        <v>3558.86</v>
      </c>
      <c r="C226" s="765">
        <v>3558.86</v>
      </c>
      <c r="D226">
        <v>0</v>
      </c>
      <c r="E226">
        <v>0</v>
      </c>
      <c r="F226" s="765">
        <v>3558.86</v>
      </c>
      <c r="G226">
        <v>0</v>
      </c>
    </row>
    <row r="228" spans="1:9">
      <c r="A228">
        <v>11123</v>
      </c>
      <c r="B228" t="s">
        <v>3377</v>
      </c>
    </row>
    <row r="229" spans="1:9">
      <c r="A229" s="785">
        <v>43232</v>
      </c>
      <c r="B229" t="s">
        <v>4267</v>
      </c>
      <c r="C229" s="765">
        <v>1788.62</v>
      </c>
      <c r="D229" s="765">
        <v>1788.62</v>
      </c>
      <c r="E229" s="765">
        <v>1788.62</v>
      </c>
      <c r="I229" s="765">
        <v>1788.62</v>
      </c>
    </row>
    <row r="230" spans="1:9">
      <c r="A230" s="785">
        <v>43232</v>
      </c>
      <c r="B230" t="s">
        <v>4268</v>
      </c>
      <c r="C230">
        <v>168.81</v>
      </c>
      <c r="D230">
        <v>168.81</v>
      </c>
      <c r="E230" s="765">
        <v>1957.43</v>
      </c>
      <c r="I230">
        <v>168.81</v>
      </c>
    </row>
    <row r="231" spans="1:9">
      <c r="A231" s="785">
        <v>43232</v>
      </c>
      <c r="B231" t="s">
        <v>4269</v>
      </c>
      <c r="C231">
        <v>184.16</v>
      </c>
      <c r="D231">
        <v>184.16</v>
      </c>
      <c r="E231" s="765">
        <v>2141.59</v>
      </c>
      <c r="I231">
        <v>184.16</v>
      </c>
    </row>
    <row r="232" spans="1:9">
      <c r="A232" s="785">
        <v>43232</v>
      </c>
      <c r="B232" t="s">
        <v>4270</v>
      </c>
      <c r="C232" s="765">
        <v>8795.2199999999993</v>
      </c>
      <c r="D232" s="765">
        <v>8795.2199999999993</v>
      </c>
      <c r="E232" s="765">
        <v>10936.81</v>
      </c>
      <c r="I232" s="765">
        <v>8795.2199999999993</v>
      </c>
    </row>
    <row r="233" spans="1:9">
      <c r="A233" s="785">
        <v>44208</v>
      </c>
      <c r="B233" t="s">
        <v>7105</v>
      </c>
      <c r="C233" s="765">
        <v>2195.04</v>
      </c>
      <c r="D233" s="765">
        <v>2195.04</v>
      </c>
      <c r="E233" s="765">
        <v>13131.85</v>
      </c>
      <c r="H233" s="765">
        <v>2195.04</v>
      </c>
    </row>
    <row r="234" spans="1:9">
      <c r="A234" s="785">
        <v>44208</v>
      </c>
      <c r="B234" t="s">
        <v>7106</v>
      </c>
      <c r="C234">
        <v>302.36</v>
      </c>
      <c r="D234">
        <v>302.36</v>
      </c>
      <c r="E234" s="765">
        <v>13434.21</v>
      </c>
      <c r="H234">
        <v>302.36</v>
      </c>
    </row>
    <row r="235" spans="1:9">
      <c r="A235" s="785">
        <v>44208</v>
      </c>
      <c r="B235" t="s">
        <v>7107</v>
      </c>
      <c r="C235" s="765">
        <v>3641.68</v>
      </c>
      <c r="D235" s="765">
        <v>3641.68</v>
      </c>
      <c r="E235" s="765">
        <v>17075.89</v>
      </c>
      <c r="H235" s="765">
        <v>3641.68</v>
      </c>
    </row>
    <row r="236" spans="1:9">
      <c r="A236" s="785">
        <v>44208</v>
      </c>
      <c r="B236" t="s">
        <v>7108</v>
      </c>
      <c r="C236">
        <v>329.84</v>
      </c>
      <c r="D236">
        <v>329.84</v>
      </c>
      <c r="E236" s="765">
        <v>17405.73</v>
      </c>
      <c r="H236">
        <v>329.84</v>
      </c>
    </row>
    <row r="237" spans="1:9">
      <c r="A237" s="785">
        <v>44208</v>
      </c>
      <c r="B237" t="s">
        <v>7109</v>
      </c>
      <c r="C237">
        <v>494.77</v>
      </c>
      <c r="D237">
        <v>494.77</v>
      </c>
      <c r="E237" s="765">
        <v>17900.5</v>
      </c>
      <c r="H237">
        <v>494.77</v>
      </c>
    </row>
    <row r="238" spans="1:9">
      <c r="A238" s="785">
        <v>44208</v>
      </c>
      <c r="B238" t="s">
        <v>7110</v>
      </c>
      <c r="C238" s="765">
        <v>1099.5</v>
      </c>
      <c r="D238" s="765">
        <v>1099.5</v>
      </c>
      <c r="E238" s="765">
        <v>19000</v>
      </c>
      <c r="H238" s="765">
        <v>1099.5</v>
      </c>
    </row>
    <row r="239" spans="1:9">
      <c r="A239" s="785">
        <v>44208</v>
      </c>
      <c r="B239" t="s">
        <v>7111</v>
      </c>
      <c r="C239" s="765">
        <v>2597.0300000000002</v>
      </c>
      <c r="D239" s="765">
        <v>2597.0300000000002</v>
      </c>
      <c r="E239" s="765">
        <v>21597.03</v>
      </c>
      <c r="H239" s="765">
        <v>2597.0300000000002</v>
      </c>
    </row>
    <row r="241" spans="1:9">
      <c r="A241" t="s">
        <v>4138</v>
      </c>
      <c r="B241" s="765">
        <v>21597.03</v>
      </c>
      <c r="C241" s="765">
        <v>21597.03</v>
      </c>
      <c r="D241">
        <v>0</v>
      </c>
      <c r="E241">
        <v>0</v>
      </c>
      <c r="F241" s="765">
        <v>10660.22</v>
      </c>
      <c r="G241" s="765">
        <v>10936.81</v>
      </c>
    </row>
    <row r="243" spans="1:9">
      <c r="A243">
        <v>11127</v>
      </c>
      <c r="B243" t="s">
        <v>3378</v>
      </c>
    </row>
    <row r="244" spans="1:9">
      <c r="A244" s="785">
        <v>43232</v>
      </c>
      <c r="B244" t="s">
        <v>4272</v>
      </c>
      <c r="C244">
        <v>842.52</v>
      </c>
      <c r="D244">
        <v>842.52</v>
      </c>
      <c r="E244">
        <v>842.52</v>
      </c>
      <c r="I244">
        <v>842.52</v>
      </c>
    </row>
    <row r="246" spans="1:9">
      <c r="A246" t="s">
        <v>4138</v>
      </c>
      <c r="B246">
        <v>842.52</v>
      </c>
      <c r="C246">
        <v>842.52</v>
      </c>
      <c r="D246">
        <v>0</v>
      </c>
      <c r="E246">
        <v>0</v>
      </c>
      <c r="F246">
        <v>0</v>
      </c>
      <c r="G246">
        <v>842.52</v>
      </c>
    </row>
    <row r="248" spans="1:9">
      <c r="A248">
        <v>11145</v>
      </c>
      <c r="B248" t="s">
        <v>6846</v>
      </c>
    </row>
    <row r="249" spans="1:9">
      <c r="A249" s="785">
        <v>44239</v>
      </c>
      <c r="B249" t="s">
        <v>7112</v>
      </c>
      <c r="C249" s="765">
        <v>61985.08</v>
      </c>
      <c r="D249" s="765">
        <v>61985.08</v>
      </c>
      <c r="E249" s="765">
        <v>61985.08</v>
      </c>
      <c r="H249" s="765">
        <v>61985.08</v>
      </c>
    </row>
    <row r="250" spans="1:9">
      <c r="A250" s="785">
        <v>44239</v>
      </c>
      <c r="B250" t="s">
        <v>7113</v>
      </c>
      <c r="C250" s="765">
        <v>17319.34</v>
      </c>
      <c r="D250" s="765">
        <v>17319.34</v>
      </c>
      <c r="E250" s="765">
        <v>79304.42</v>
      </c>
      <c r="H250" s="765">
        <v>17319.34</v>
      </c>
    </row>
    <row r="251" spans="1:9">
      <c r="A251" s="785">
        <v>44239</v>
      </c>
      <c r="B251" t="s">
        <v>7114</v>
      </c>
      <c r="C251" s="765">
        <v>8364.5</v>
      </c>
      <c r="D251" s="765">
        <v>8364.5</v>
      </c>
      <c r="E251" s="765">
        <v>87668.92</v>
      </c>
      <c r="H251" s="765">
        <v>8364.5</v>
      </c>
    </row>
    <row r="253" spans="1:9">
      <c r="A253" t="s">
        <v>4138</v>
      </c>
      <c r="B253" s="765">
        <v>87668.92</v>
      </c>
      <c r="C253" s="765">
        <v>87668.92</v>
      </c>
      <c r="D253">
        <v>0</v>
      </c>
      <c r="E253">
        <v>0</v>
      </c>
      <c r="F253" s="765">
        <v>87668.92</v>
      </c>
      <c r="G253">
        <v>0</v>
      </c>
    </row>
    <row r="255" spans="1:9">
      <c r="A255">
        <v>11173</v>
      </c>
      <c r="B255" t="s">
        <v>3379</v>
      </c>
    </row>
    <row r="256" spans="1:9">
      <c r="A256" s="785">
        <v>43565</v>
      </c>
      <c r="B256" t="s">
        <v>4274</v>
      </c>
      <c r="C256">
        <v>215.18</v>
      </c>
      <c r="D256">
        <v>215.18</v>
      </c>
      <c r="E256">
        <v>215.18</v>
      </c>
      <c r="I256">
        <v>215.18</v>
      </c>
    </row>
    <row r="257" spans="1:9">
      <c r="A257" s="785">
        <v>43596</v>
      </c>
      <c r="B257" t="s">
        <v>4275</v>
      </c>
      <c r="C257">
        <v>209.79</v>
      </c>
      <c r="D257">
        <v>209.79</v>
      </c>
      <c r="E257">
        <v>424.97</v>
      </c>
      <c r="I257">
        <v>209.79</v>
      </c>
    </row>
    <row r="258" spans="1:9">
      <c r="A258" s="785">
        <v>43477</v>
      </c>
      <c r="B258" t="s">
        <v>4276</v>
      </c>
      <c r="C258">
        <v>204.39</v>
      </c>
      <c r="D258">
        <v>204.39</v>
      </c>
      <c r="E258">
        <v>629.36</v>
      </c>
      <c r="I258">
        <v>204.39</v>
      </c>
    </row>
    <row r="259" spans="1:9">
      <c r="A259" s="785">
        <v>43983</v>
      </c>
      <c r="B259" t="s">
        <v>4277</v>
      </c>
      <c r="C259">
        <v>294.99</v>
      </c>
      <c r="D259">
        <v>294.99</v>
      </c>
      <c r="E259">
        <v>924.35</v>
      </c>
      <c r="I259">
        <v>294.99</v>
      </c>
    </row>
    <row r="260" spans="1:9">
      <c r="A260" s="785">
        <v>43923</v>
      </c>
      <c r="B260" t="s">
        <v>4278</v>
      </c>
      <c r="C260">
        <v>221.36</v>
      </c>
      <c r="D260">
        <v>221.36</v>
      </c>
      <c r="E260" s="765">
        <v>1145.71</v>
      </c>
      <c r="I260">
        <v>221.36</v>
      </c>
    </row>
    <row r="261" spans="1:9">
      <c r="A261" s="785">
        <v>43893</v>
      </c>
      <c r="B261" t="s">
        <v>4279</v>
      </c>
      <c r="C261">
        <v>223.99</v>
      </c>
      <c r="D261">
        <v>223.99</v>
      </c>
      <c r="E261" s="765">
        <v>1369.7</v>
      </c>
      <c r="I261">
        <v>223.99</v>
      </c>
    </row>
    <row r="262" spans="1:9">
      <c r="A262" t="s">
        <v>4280</v>
      </c>
      <c r="B262" t="s">
        <v>4281</v>
      </c>
      <c r="C262">
        <v>230.79</v>
      </c>
      <c r="D262">
        <v>230.79</v>
      </c>
      <c r="E262" s="765">
        <v>1600.49</v>
      </c>
      <c r="I262">
        <v>230.79</v>
      </c>
    </row>
    <row r="263" spans="1:9">
      <c r="A263" s="785">
        <v>44048</v>
      </c>
      <c r="B263" t="s">
        <v>4282</v>
      </c>
      <c r="C263">
        <v>565.6</v>
      </c>
      <c r="D263">
        <v>565.6</v>
      </c>
      <c r="E263" s="765">
        <v>2166.09</v>
      </c>
      <c r="I263">
        <v>565.6</v>
      </c>
    </row>
    <row r="264" spans="1:9">
      <c r="A264" s="785">
        <v>43836</v>
      </c>
      <c r="B264" t="s">
        <v>4283</v>
      </c>
      <c r="C264">
        <v>225.13</v>
      </c>
      <c r="D264">
        <v>225.13</v>
      </c>
      <c r="E264" s="765">
        <v>2391.2199999999998</v>
      </c>
      <c r="I264">
        <v>225.13</v>
      </c>
    </row>
    <row r="265" spans="1:9">
      <c r="A265" s="785">
        <v>43837</v>
      </c>
      <c r="B265" t="s">
        <v>4284</v>
      </c>
      <c r="C265">
        <v>272.69</v>
      </c>
      <c r="D265">
        <v>272.69</v>
      </c>
      <c r="E265" s="765">
        <v>2663.91</v>
      </c>
      <c r="I265">
        <v>272.69</v>
      </c>
    </row>
    <row r="266" spans="1:9">
      <c r="A266" s="785">
        <v>43898</v>
      </c>
      <c r="B266" t="s">
        <v>4285</v>
      </c>
      <c r="C266">
        <v>228.9</v>
      </c>
      <c r="D266">
        <v>228.9</v>
      </c>
      <c r="E266" s="765">
        <v>2892.81</v>
      </c>
      <c r="I266">
        <v>228.9</v>
      </c>
    </row>
    <row r="267" spans="1:9">
      <c r="A267" s="785">
        <v>43870</v>
      </c>
      <c r="B267" t="s">
        <v>5229</v>
      </c>
      <c r="C267">
        <v>227.77</v>
      </c>
      <c r="D267">
        <v>227.77</v>
      </c>
      <c r="E267" s="765">
        <v>3120.58</v>
      </c>
      <c r="I267">
        <v>227.77</v>
      </c>
    </row>
    <row r="268" spans="1:9">
      <c r="A268" s="785">
        <v>43871</v>
      </c>
      <c r="B268" t="s">
        <v>5278</v>
      </c>
      <c r="C268">
        <v>248.91</v>
      </c>
      <c r="D268">
        <v>248.91</v>
      </c>
      <c r="E268" s="765">
        <v>3369.49</v>
      </c>
      <c r="I268">
        <v>248.91</v>
      </c>
    </row>
    <row r="270" spans="1:9">
      <c r="A270" t="s">
        <v>4138</v>
      </c>
      <c r="B270" s="765">
        <v>3369.49</v>
      </c>
      <c r="C270" s="765">
        <v>3369.49</v>
      </c>
      <c r="D270">
        <v>0</v>
      </c>
      <c r="E270">
        <v>0</v>
      </c>
      <c r="F270">
        <v>0</v>
      </c>
      <c r="G270" s="765">
        <v>3369.49</v>
      </c>
    </row>
    <row r="272" spans="1:9">
      <c r="A272">
        <v>11200</v>
      </c>
      <c r="B272" t="s">
        <v>6582</v>
      </c>
    </row>
    <row r="273" spans="1:9">
      <c r="A273" s="785">
        <v>44356</v>
      </c>
      <c r="B273" t="s">
        <v>6583</v>
      </c>
      <c r="C273" s="765">
        <v>9682.7199999999993</v>
      </c>
      <c r="D273" s="765">
        <v>9682.7199999999993</v>
      </c>
      <c r="E273" s="765">
        <v>9682.7199999999993</v>
      </c>
      <c r="I273" s="765">
        <v>9682.7199999999993</v>
      </c>
    </row>
    <row r="275" spans="1:9">
      <c r="A275" t="s">
        <v>4138</v>
      </c>
      <c r="B275" s="765">
        <v>9682.7199999999993</v>
      </c>
      <c r="C275" s="765">
        <v>9682.7199999999993</v>
      </c>
      <c r="D275">
        <v>0</v>
      </c>
      <c r="E275">
        <v>0</v>
      </c>
      <c r="F275">
        <v>0</v>
      </c>
      <c r="G275" s="765">
        <v>9682.7199999999993</v>
      </c>
    </row>
    <row r="277" spans="1:9">
      <c r="A277">
        <v>11232</v>
      </c>
      <c r="B277" t="s">
        <v>3380</v>
      </c>
    </row>
    <row r="278" spans="1:9">
      <c r="A278" s="785">
        <v>44206</v>
      </c>
      <c r="B278" t="s">
        <v>6687</v>
      </c>
      <c r="C278" s="765">
        <v>1621.76</v>
      </c>
      <c r="D278" s="765">
        <v>1621.76</v>
      </c>
      <c r="E278" s="765">
        <v>1621.76</v>
      </c>
      <c r="I278" s="765">
        <v>1621.76</v>
      </c>
    </row>
    <row r="279" spans="1:9">
      <c r="A279" s="785">
        <v>44207</v>
      </c>
      <c r="B279" t="s">
        <v>6848</v>
      </c>
      <c r="C279" s="765">
        <v>1621.76</v>
      </c>
      <c r="D279" s="765">
        <v>1621.76</v>
      </c>
      <c r="E279" s="765">
        <v>3243.52</v>
      </c>
      <c r="I279" s="765">
        <v>1621.76</v>
      </c>
    </row>
    <row r="280" spans="1:9">
      <c r="A280" s="785">
        <v>44208</v>
      </c>
      <c r="B280" t="s">
        <v>7115</v>
      </c>
      <c r="C280" s="765">
        <v>1621.76</v>
      </c>
      <c r="D280" s="765">
        <v>1621.76</v>
      </c>
      <c r="E280" s="765">
        <v>4865.28</v>
      </c>
      <c r="H280" s="765">
        <v>1621.76</v>
      </c>
    </row>
    <row r="282" spans="1:9">
      <c r="A282" t="s">
        <v>4138</v>
      </c>
      <c r="B282" s="765">
        <v>4865.28</v>
      </c>
      <c r="C282" s="765">
        <v>4865.28</v>
      </c>
      <c r="D282">
        <v>0</v>
      </c>
      <c r="E282">
        <v>0</v>
      </c>
      <c r="F282" s="765">
        <v>1621.76</v>
      </c>
      <c r="G282" s="765">
        <v>3243.52</v>
      </c>
    </row>
    <row r="284" spans="1:9">
      <c r="A284">
        <v>11250</v>
      </c>
      <c r="B284" t="s">
        <v>7116</v>
      </c>
    </row>
    <row r="285" spans="1:9">
      <c r="A285" s="785">
        <v>44208</v>
      </c>
      <c r="B285" t="s">
        <v>7117</v>
      </c>
      <c r="C285" s="765">
        <v>29063.39</v>
      </c>
      <c r="D285" s="765">
        <v>29063.39</v>
      </c>
      <c r="E285" s="765">
        <v>29063.39</v>
      </c>
      <c r="H285" s="765">
        <v>29063.39</v>
      </c>
    </row>
    <row r="287" spans="1:9">
      <c r="A287" t="s">
        <v>4138</v>
      </c>
      <c r="B287" s="765">
        <v>29063.39</v>
      </c>
      <c r="C287" s="765">
        <v>29063.39</v>
      </c>
      <c r="D287">
        <v>0</v>
      </c>
      <c r="E287">
        <v>0</v>
      </c>
      <c r="F287" s="765">
        <v>29063.39</v>
      </c>
      <c r="G287">
        <v>0</v>
      </c>
    </row>
    <row r="289" spans="1:9">
      <c r="A289">
        <v>11261</v>
      </c>
      <c r="B289" t="s">
        <v>6849</v>
      </c>
    </row>
    <row r="290" spans="1:9">
      <c r="A290" s="785">
        <v>44239</v>
      </c>
      <c r="B290" t="s">
        <v>7118</v>
      </c>
      <c r="C290" s="765">
        <v>54488.49</v>
      </c>
      <c r="D290" s="765">
        <v>54488.49</v>
      </c>
      <c r="E290" s="765">
        <v>54488.49</v>
      </c>
      <c r="H290" s="765">
        <v>54488.49</v>
      </c>
    </row>
    <row r="292" spans="1:9">
      <c r="A292" t="s">
        <v>4138</v>
      </c>
      <c r="B292" s="765">
        <v>54488.49</v>
      </c>
      <c r="C292" s="765">
        <v>54488.49</v>
      </c>
      <c r="D292">
        <v>0</v>
      </c>
      <c r="E292">
        <v>0</v>
      </c>
      <c r="F292" s="765">
        <v>54488.49</v>
      </c>
      <c r="G292">
        <v>0</v>
      </c>
    </row>
    <row r="294" spans="1:9">
      <c r="A294">
        <v>11270</v>
      </c>
      <c r="B294" t="s">
        <v>6480</v>
      </c>
    </row>
    <row r="295" spans="1:9">
      <c r="A295" s="785">
        <v>44208</v>
      </c>
      <c r="B295" t="s">
        <v>7119</v>
      </c>
      <c r="C295" s="765">
        <v>4329.8500000000004</v>
      </c>
      <c r="D295" s="765">
        <v>4329.8500000000004</v>
      </c>
      <c r="E295" s="765">
        <v>4329.8500000000004</v>
      </c>
      <c r="H295" s="765">
        <v>4329.8500000000004</v>
      </c>
    </row>
    <row r="297" spans="1:9">
      <c r="A297" t="s">
        <v>4138</v>
      </c>
      <c r="B297" s="765">
        <v>4329.8500000000004</v>
      </c>
      <c r="C297" s="765">
        <v>4329.8500000000004</v>
      </c>
      <c r="D297">
        <v>0</v>
      </c>
      <c r="E297">
        <v>0</v>
      </c>
      <c r="F297" s="765">
        <v>4329.8500000000004</v>
      </c>
      <c r="G297">
        <v>0</v>
      </c>
    </row>
    <row r="299" spans="1:9">
      <c r="A299">
        <v>11295</v>
      </c>
      <c r="B299" t="s">
        <v>3381</v>
      </c>
    </row>
    <row r="300" spans="1:9">
      <c r="A300" s="785">
        <v>43232</v>
      </c>
      <c r="B300" t="s">
        <v>4286</v>
      </c>
      <c r="C300" s="765">
        <v>4202.95</v>
      </c>
      <c r="D300" s="765">
        <v>4202.95</v>
      </c>
      <c r="E300" s="765">
        <v>4202.95</v>
      </c>
      <c r="I300" s="765">
        <v>4202.95</v>
      </c>
    </row>
    <row r="301" spans="1:9">
      <c r="A301" s="785">
        <v>43232</v>
      </c>
      <c r="B301" t="s">
        <v>4287</v>
      </c>
      <c r="C301" s="765">
        <v>3408.59</v>
      </c>
      <c r="D301" s="765">
        <v>3408.59</v>
      </c>
      <c r="E301" s="765">
        <v>7611.54</v>
      </c>
      <c r="I301" s="765">
        <v>3408.59</v>
      </c>
    </row>
    <row r="302" spans="1:9">
      <c r="A302" s="785">
        <v>43681</v>
      </c>
      <c r="B302" t="s">
        <v>4288</v>
      </c>
      <c r="C302" s="765">
        <v>4720.46</v>
      </c>
      <c r="D302" s="765">
        <v>4720.46</v>
      </c>
      <c r="E302" s="765">
        <v>12332</v>
      </c>
      <c r="I302" s="765">
        <v>4720.46</v>
      </c>
    </row>
    <row r="303" spans="1:9">
      <c r="A303" s="785">
        <v>43681</v>
      </c>
      <c r="B303" t="s">
        <v>4289</v>
      </c>
      <c r="C303" s="765">
        <v>5077.49</v>
      </c>
      <c r="D303" s="765">
        <v>5077.49</v>
      </c>
      <c r="E303" s="765">
        <v>17409.490000000002</v>
      </c>
      <c r="I303" s="765">
        <v>5077.49</v>
      </c>
    </row>
    <row r="305" spans="1:9">
      <c r="A305" t="s">
        <v>4138</v>
      </c>
      <c r="B305" s="765">
        <v>17409.490000000002</v>
      </c>
      <c r="C305" s="765">
        <v>17409.490000000002</v>
      </c>
      <c r="D305">
        <v>0</v>
      </c>
      <c r="E305">
        <v>0</v>
      </c>
      <c r="F305">
        <v>0</v>
      </c>
      <c r="G305" s="765">
        <v>17409.490000000002</v>
      </c>
    </row>
    <row r="307" spans="1:9">
      <c r="A307">
        <v>11312</v>
      </c>
      <c r="B307" t="s">
        <v>3382</v>
      </c>
    </row>
    <row r="308" spans="1:9">
      <c r="A308" s="785">
        <v>43232</v>
      </c>
      <c r="B308" t="s">
        <v>4290</v>
      </c>
      <c r="C308" s="765">
        <v>166030.57</v>
      </c>
      <c r="D308" s="765">
        <v>8072.51</v>
      </c>
      <c r="E308" s="765">
        <v>8072.51</v>
      </c>
      <c r="I308" s="765">
        <v>8072.51</v>
      </c>
    </row>
    <row r="309" spans="1:9">
      <c r="A309" s="785">
        <v>43411</v>
      </c>
      <c r="B309" t="s">
        <v>4291</v>
      </c>
      <c r="C309" s="765">
        <v>205036.73</v>
      </c>
      <c r="D309" s="765">
        <v>152395.37</v>
      </c>
      <c r="E309" s="765">
        <v>160467.88</v>
      </c>
      <c r="I309" s="765">
        <v>152395.37</v>
      </c>
    </row>
    <row r="310" spans="1:9">
      <c r="A310" s="785">
        <v>44208</v>
      </c>
      <c r="B310" t="s">
        <v>7120</v>
      </c>
      <c r="C310" s="765">
        <v>164567.99</v>
      </c>
      <c r="D310" s="765">
        <v>164567.99</v>
      </c>
      <c r="E310" s="765">
        <v>325035.87</v>
      </c>
      <c r="H310" s="765">
        <v>164567.99</v>
      </c>
    </row>
    <row r="311" spans="1:9">
      <c r="A311" s="785">
        <v>44208</v>
      </c>
      <c r="B311" t="s">
        <v>7121</v>
      </c>
      <c r="C311" s="765">
        <v>14458.35</v>
      </c>
      <c r="D311" s="765">
        <v>14458.35</v>
      </c>
      <c r="E311" s="765">
        <v>339494.22</v>
      </c>
      <c r="H311" s="765">
        <v>14458.35</v>
      </c>
    </row>
    <row r="313" spans="1:9">
      <c r="A313" t="s">
        <v>4138</v>
      </c>
      <c r="B313" s="765">
        <v>550093.64</v>
      </c>
      <c r="C313" s="765">
        <v>339494.22</v>
      </c>
      <c r="D313">
        <v>0</v>
      </c>
      <c r="E313">
        <v>0</v>
      </c>
      <c r="F313" s="765">
        <v>179026.34</v>
      </c>
      <c r="G313" s="765">
        <v>160467.88</v>
      </c>
    </row>
    <row r="315" spans="1:9">
      <c r="A315">
        <v>11320</v>
      </c>
      <c r="B315" t="s">
        <v>3380</v>
      </c>
    </row>
    <row r="316" spans="1:9">
      <c r="A316" s="785">
        <v>44206</v>
      </c>
      <c r="B316" t="s">
        <v>6688</v>
      </c>
      <c r="C316" s="765">
        <v>197662.84</v>
      </c>
      <c r="D316" s="765">
        <v>197662.84</v>
      </c>
      <c r="E316" s="765">
        <v>197662.84</v>
      </c>
      <c r="I316" s="765">
        <v>197662.84</v>
      </c>
    </row>
    <row r="317" spans="1:9">
      <c r="A317" s="785">
        <v>44207</v>
      </c>
      <c r="B317" t="s">
        <v>6850</v>
      </c>
      <c r="C317" s="765">
        <v>80655.8</v>
      </c>
      <c r="D317" s="765">
        <v>80655.8</v>
      </c>
      <c r="E317" s="765">
        <v>278318.64</v>
      </c>
      <c r="I317" s="765">
        <v>80655.8</v>
      </c>
    </row>
    <row r="318" spans="1:9">
      <c r="A318" s="785">
        <v>44208</v>
      </c>
      <c r="B318" t="s">
        <v>7122</v>
      </c>
      <c r="C318" s="765">
        <v>10599.04</v>
      </c>
      <c r="D318" s="765">
        <v>10599.04</v>
      </c>
      <c r="E318" s="765">
        <v>288917.68</v>
      </c>
      <c r="H318" s="765">
        <v>10599.04</v>
      </c>
    </row>
    <row r="320" spans="1:9">
      <c r="A320" t="s">
        <v>4138</v>
      </c>
      <c r="B320" s="765">
        <v>288917.68</v>
      </c>
      <c r="C320" s="765">
        <v>288917.68</v>
      </c>
      <c r="D320">
        <v>0</v>
      </c>
      <c r="E320">
        <v>0</v>
      </c>
      <c r="F320" s="765">
        <v>10599.04</v>
      </c>
      <c r="G320" s="765">
        <v>278318.64</v>
      </c>
    </row>
    <row r="322" spans="1:9">
      <c r="A322">
        <v>11321</v>
      </c>
      <c r="B322" t="s">
        <v>3383</v>
      </c>
    </row>
    <row r="323" spans="1:9">
      <c r="A323" s="785">
        <v>43232</v>
      </c>
      <c r="B323" t="s">
        <v>4292</v>
      </c>
      <c r="C323" s="765">
        <v>4095.97</v>
      </c>
      <c r="D323" s="765">
        <v>4095.97</v>
      </c>
      <c r="E323" s="765">
        <v>4095.97</v>
      </c>
      <c r="I323" s="765">
        <v>4095.97</v>
      </c>
    </row>
    <row r="324" spans="1:9">
      <c r="A324" s="785">
        <v>44480</v>
      </c>
      <c r="B324" t="s">
        <v>6851</v>
      </c>
      <c r="C324" s="765">
        <v>6617.19</v>
      </c>
      <c r="D324" s="765">
        <v>6617.19</v>
      </c>
      <c r="E324" s="765">
        <v>10713.16</v>
      </c>
      <c r="I324" s="765">
        <v>6617.19</v>
      </c>
    </row>
    <row r="325" spans="1:9">
      <c r="A325" s="785">
        <v>44480</v>
      </c>
      <c r="B325" t="s">
        <v>6852</v>
      </c>
      <c r="C325" s="765">
        <v>5525.57</v>
      </c>
      <c r="D325" s="765">
        <v>5525.57</v>
      </c>
      <c r="E325" s="765">
        <v>16238.73</v>
      </c>
      <c r="I325" s="765">
        <v>5525.57</v>
      </c>
    </row>
    <row r="326" spans="1:9">
      <c r="A326" s="785">
        <v>44208</v>
      </c>
      <c r="B326" t="s">
        <v>7123</v>
      </c>
      <c r="C326" s="765">
        <v>6086.84</v>
      </c>
      <c r="D326" s="765">
        <v>6086.84</v>
      </c>
      <c r="E326" s="765">
        <v>22325.57</v>
      </c>
      <c r="H326" s="765">
        <v>6086.84</v>
      </c>
    </row>
    <row r="328" spans="1:9">
      <c r="A328" t="s">
        <v>4138</v>
      </c>
      <c r="B328" s="765">
        <v>22325.57</v>
      </c>
      <c r="C328" s="765">
        <v>22325.57</v>
      </c>
      <c r="D328">
        <v>0</v>
      </c>
      <c r="E328">
        <v>0</v>
      </c>
      <c r="F328" s="765">
        <v>6086.84</v>
      </c>
      <c r="G328" s="765">
        <v>16238.73</v>
      </c>
    </row>
    <row r="330" spans="1:9">
      <c r="A330">
        <v>11326</v>
      </c>
      <c r="B330" t="s">
        <v>3384</v>
      </c>
    </row>
    <row r="331" spans="1:9">
      <c r="A331" s="785">
        <v>43983</v>
      </c>
      <c r="B331" t="s">
        <v>4293</v>
      </c>
      <c r="C331" s="765">
        <v>2073.44</v>
      </c>
      <c r="D331" s="765">
        <v>2073.44</v>
      </c>
      <c r="E331" s="765">
        <v>2073.44</v>
      </c>
      <c r="I331" s="765">
        <v>2073.44</v>
      </c>
    </row>
    <row r="332" spans="1:9">
      <c r="A332" s="785">
        <v>44317</v>
      </c>
      <c r="B332" t="s">
        <v>5744</v>
      </c>
      <c r="C332" s="765">
        <v>2428.33</v>
      </c>
      <c r="D332" s="765">
        <v>2428.33</v>
      </c>
      <c r="E332" s="765">
        <v>4501.7700000000004</v>
      </c>
      <c r="I332" s="765">
        <v>2428.33</v>
      </c>
    </row>
    <row r="333" spans="1:9">
      <c r="A333" s="785">
        <v>44208</v>
      </c>
      <c r="B333" t="s">
        <v>7124</v>
      </c>
      <c r="C333" s="765">
        <v>8396.33</v>
      </c>
      <c r="D333" s="765">
        <v>8396.33</v>
      </c>
      <c r="E333" s="765">
        <v>12898.1</v>
      </c>
      <c r="H333" s="765">
        <v>8396.33</v>
      </c>
    </row>
    <row r="335" spans="1:9">
      <c r="A335" t="s">
        <v>4138</v>
      </c>
      <c r="B335" s="765">
        <v>12898.1</v>
      </c>
      <c r="C335" s="765">
        <v>12898.1</v>
      </c>
      <c r="D335">
        <v>0</v>
      </c>
      <c r="E335">
        <v>0</v>
      </c>
      <c r="F335" s="765">
        <v>8396.33</v>
      </c>
      <c r="G335" s="765">
        <v>4501.7700000000004</v>
      </c>
    </row>
    <row r="337" spans="1:9">
      <c r="A337">
        <v>11341</v>
      </c>
      <c r="B337" t="s">
        <v>3385</v>
      </c>
    </row>
    <row r="338" spans="1:9">
      <c r="A338" s="785">
        <v>43232</v>
      </c>
      <c r="B338" t="s">
        <v>4294</v>
      </c>
      <c r="C338" s="765">
        <v>1697.42</v>
      </c>
      <c r="D338" s="765">
        <v>1697.42</v>
      </c>
      <c r="E338" s="765">
        <v>1697.42</v>
      </c>
      <c r="I338" s="765">
        <v>1697.42</v>
      </c>
    </row>
    <row r="340" spans="1:9">
      <c r="A340" t="s">
        <v>4138</v>
      </c>
      <c r="B340" s="765">
        <v>1697.42</v>
      </c>
      <c r="C340" s="765">
        <v>1697.42</v>
      </c>
      <c r="D340">
        <v>0</v>
      </c>
      <c r="E340">
        <v>0</v>
      </c>
      <c r="F340">
        <v>0</v>
      </c>
      <c r="G340" s="765">
        <v>1697.42</v>
      </c>
    </row>
    <row r="342" spans="1:9">
      <c r="A342">
        <v>11370</v>
      </c>
      <c r="B342" t="s">
        <v>3386</v>
      </c>
    </row>
    <row r="343" spans="1:9">
      <c r="A343" s="785">
        <v>43410</v>
      </c>
      <c r="B343" t="s">
        <v>4295</v>
      </c>
      <c r="C343">
        <v>653.25</v>
      </c>
      <c r="D343">
        <v>653.25</v>
      </c>
      <c r="E343">
        <v>653.25</v>
      </c>
      <c r="I343">
        <v>653.25</v>
      </c>
    </row>
    <row r="344" spans="1:9">
      <c r="A344" t="s">
        <v>4296</v>
      </c>
      <c r="B344" t="s">
        <v>4297</v>
      </c>
      <c r="C344">
        <v>585.41</v>
      </c>
      <c r="D344">
        <v>585.41</v>
      </c>
      <c r="E344" s="765">
        <v>1238.6600000000001</v>
      </c>
      <c r="I344">
        <v>585.41</v>
      </c>
    </row>
    <row r="345" spans="1:9">
      <c r="A345" s="785">
        <v>43679</v>
      </c>
      <c r="B345" t="s">
        <v>4298</v>
      </c>
      <c r="C345">
        <v>435.44</v>
      </c>
      <c r="D345">
        <v>435.44</v>
      </c>
      <c r="E345" s="765">
        <v>1674.1</v>
      </c>
      <c r="I345">
        <v>435.44</v>
      </c>
    </row>
    <row r="346" spans="1:9">
      <c r="A346" s="785">
        <v>43476</v>
      </c>
      <c r="B346" t="s">
        <v>4299</v>
      </c>
      <c r="C346">
        <v>674.51</v>
      </c>
      <c r="D346">
        <v>674.51</v>
      </c>
      <c r="E346" s="765">
        <v>2348.61</v>
      </c>
      <c r="I346">
        <v>674.51</v>
      </c>
    </row>
    <row r="347" spans="1:9">
      <c r="A347" s="785">
        <v>43898</v>
      </c>
      <c r="B347" t="s">
        <v>4300</v>
      </c>
      <c r="C347">
        <v>354.87</v>
      </c>
      <c r="D347">
        <v>354.87</v>
      </c>
      <c r="E347" s="765">
        <v>2703.48</v>
      </c>
      <c r="I347">
        <v>354.87</v>
      </c>
    </row>
    <row r="349" spans="1:9">
      <c r="A349" t="s">
        <v>4138</v>
      </c>
      <c r="B349" s="765">
        <v>2703.48</v>
      </c>
      <c r="C349" s="765">
        <v>2703.48</v>
      </c>
      <c r="D349">
        <v>0</v>
      </c>
      <c r="E349">
        <v>0</v>
      </c>
      <c r="F349">
        <v>0</v>
      </c>
      <c r="G349" s="765">
        <v>2703.48</v>
      </c>
    </row>
    <row r="351" spans="1:9">
      <c r="A351">
        <v>11390</v>
      </c>
      <c r="B351" t="s">
        <v>7125</v>
      </c>
    </row>
    <row r="352" spans="1:9">
      <c r="A352" s="785">
        <v>44260</v>
      </c>
      <c r="B352" t="s">
        <v>6209</v>
      </c>
      <c r="C352" s="765">
        <v>1420.35</v>
      </c>
      <c r="D352" s="765">
        <v>1420.35</v>
      </c>
      <c r="E352" s="765">
        <v>1420.35</v>
      </c>
      <c r="I352" s="765">
        <v>1420.35</v>
      </c>
    </row>
    <row r="353" spans="1:9">
      <c r="A353" s="785">
        <v>44235</v>
      </c>
      <c r="B353" t="s">
        <v>6481</v>
      </c>
      <c r="C353" s="765">
        <v>1150.42</v>
      </c>
      <c r="D353" s="765">
        <v>1150.42</v>
      </c>
      <c r="E353" s="765">
        <v>2570.77</v>
      </c>
      <c r="I353" s="765">
        <v>1150.42</v>
      </c>
    </row>
    <row r="355" spans="1:9">
      <c r="A355" t="s">
        <v>4138</v>
      </c>
      <c r="B355" s="765">
        <v>2570.77</v>
      </c>
      <c r="C355" s="765">
        <v>2570.77</v>
      </c>
      <c r="D355">
        <v>0</v>
      </c>
      <c r="E355">
        <v>0</v>
      </c>
      <c r="F355">
        <v>0</v>
      </c>
      <c r="G355" s="765">
        <v>2570.77</v>
      </c>
    </row>
    <row r="357" spans="1:9">
      <c r="A357">
        <v>11404</v>
      </c>
      <c r="B357" t="s">
        <v>3387</v>
      </c>
    </row>
    <row r="358" spans="1:9">
      <c r="A358" s="785">
        <v>44206</v>
      </c>
      <c r="B358" t="s">
        <v>6689</v>
      </c>
      <c r="C358">
        <v>797.13</v>
      </c>
      <c r="D358">
        <v>797.13</v>
      </c>
      <c r="E358">
        <v>797.13</v>
      </c>
      <c r="I358">
        <v>797.13</v>
      </c>
    </row>
    <row r="359" spans="1:9">
      <c r="A359" s="785">
        <v>44207</v>
      </c>
      <c r="B359" t="s">
        <v>6853</v>
      </c>
      <c r="C359">
        <v>797.13</v>
      </c>
      <c r="D359">
        <v>797.13</v>
      </c>
      <c r="E359" s="765">
        <v>1594.26</v>
      </c>
      <c r="I359">
        <v>797.13</v>
      </c>
    </row>
    <row r="360" spans="1:9">
      <c r="A360" s="785">
        <v>44208</v>
      </c>
      <c r="B360" t="s">
        <v>7126</v>
      </c>
      <c r="C360">
        <v>797.13</v>
      </c>
      <c r="D360">
        <v>797.13</v>
      </c>
      <c r="E360" s="765">
        <v>2391.39</v>
      </c>
      <c r="H360">
        <v>797.13</v>
      </c>
    </row>
    <row r="362" spans="1:9">
      <c r="A362" t="s">
        <v>4138</v>
      </c>
      <c r="B362" s="765">
        <v>2391.39</v>
      </c>
      <c r="C362" s="765">
        <v>2391.39</v>
      </c>
      <c r="D362">
        <v>0</v>
      </c>
      <c r="E362">
        <v>0</v>
      </c>
      <c r="F362">
        <v>797.13</v>
      </c>
      <c r="G362" s="765">
        <v>1594.26</v>
      </c>
    </row>
    <row r="364" spans="1:9">
      <c r="A364">
        <v>11413</v>
      </c>
      <c r="B364" t="s">
        <v>3388</v>
      </c>
    </row>
    <row r="365" spans="1:9">
      <c r="A365" s="785">
        <v>44356</v>
      </c>
      <c r="B365" t="s">
        <v>6584</v>
      </c>
      <c r="C365" s="765">
        <v>12344.59</v>
      </c>
      <c r="D365" s="765">
        <v>12344.59</v>
      </c>
      <c r="E365" s="765">
        <v>12344.59</v>
      </c>
      <c r="I365" s="765">
        <v>12344.59</v>
      </c>
    </row>
    <row r="366" spans="1:9">
      <c r="A366" s="785">
        <v>44296</v>
      </c>
      <c r="B366" t="s">
        <v>6690</v>
      </c>
      <c r="C366" s="765">
        <v>9571.17</v>
      </c>
      <c r="D366" s="765">
        <v>9571.17</v>
      </c>
      <c r="E366" s="765">
        <v>21915.759999999998</v>
      </c>
      <c r="I366" s="765">
        <v>9571.17</v>
      </c>
    </row>
    <row r="367" spans="1:9">
      <c r="A367" s="785">
        <v>44238</v>
      </c>
      <c r="B367" t="s">
        <v>6854</v>
      </c>
      <c r="C367" s="765">
        <v>15531.03</v>
      </c>
      <c r="D367" s="765">
        <v>15531.03</v>
      </c>
      <c r="E367" s="765">
        <v>37446.79</v>
      </c>
      <c r="I367" s="765">
        <v>15531.03</v>
      </c>
    </row>
    <row r="368" spans="1:9">
      <c r="A368" s="785">
        <v>44238</v>
      </c>
      <c r="B368" t="s">
        <v>6855</v>
      </c>
      <c r="C368" s="765">
        <v>3855.79</v>
      </c>
      <c r="D368" s="765">
        <v>3855.79</v>
      </c>
      <c r="E368" s="765">
        <v>41302.58</v>
      </c>
      <c r="I368" s="765">
        <v>3855.79</v>
      </c>
    </row>
    <row r="369" spans="1:9">
      <c r="A369" s="785">
        <v>44208</v>
      </c>
      <c r="B369" t="s">
        <v>7127</v>
      </c>
      <c r="C369" s="765">
        <v>14903.56</v>
      </c>
      <c r="D369" s="765">
        <v>14903.56</v>
      </c>
      <c r="E369" s="765">
        <v>56206.14</v>
      </c>
      <c r="H369" s="765">
        <v>14903.56</v>
      </c>
    </row>
    <row r="371" spans="1:9">
      <c r="A371" t="s">
        <v>4138</v>
      </c>
      <c r="B371" s="765">
        <v>56206.14</v>
      </c>
      <c r="C371" s="765">
        <v>56206.14</v>
      </c>
      <c r="D371">
        <v>0</v>
      </c>
      <c r="E371">
        <v>0</v>
      </c>
      <c r="F371" s="765">
        <v>14903.56</v>
      </c>
      <c r="G371" s="765">
        <v>41302.58</v>
      </c>
    </row>
    <row r="373" spans="1:9">
      <c r="A373">
        <v>11423</v>
      </c>
      <c r="B373" t="s">
        <v>3389</v>
      </c>
    </row>
    <row r="374" spans="1:9">
      <c r="A374" s="785">
        <v>43232</v>
      </c>
      <c r="B374" t="s">
        <v>4302</v>
      </c>
      <c r="C374" s="765">
        <v>6970.76</v>
      </c>
      <c r="D374" s="765">
        <v>6970.76</v>
      </c>
      <c r="E374" s="765">
        <v>6970.76</v>
      </c>
      <c r="I374" s="765">
        <v>6970.76</v>
      </c>
    </row>
    <row r="375" spans="1:9">
      <c r="A375" s="785">
        <v>43232</v>
      </c>
      <c r="B375" t="s">
        <v>4303</v>
      </c>
      <c r="C375" s="765">
        <v>6031.42</v>
      </c>
      <c r="D375" s="765">
        <v>6031.42</v>
      </c>
      <c r="E375" s="765">
        <v>13002.18</v>
      </c>
      <c r="I375" s="765">
        <v>6031.42</v>
      </c>
    </row>
    <row r="376" spans="1:9">
      <c r="A376" s="785">
        <v>43232</v>
      </c>
      <c r="B376" t="s">
        <v>4304</v>
      </c>
      <c r="C376" s="765">
        <v>20853.189999999999</v>
      </c>
      <c r="D376" s="765">
        <v>1502.75</v>
      </c>
      <c r="E376" s="765">
        <v>14504.93</v>
      </c>
      <c r="I376" s="765">
        <v>1502.75</v>
      </c>
    </row>
    <row r="377" spans="1:9">
      <c r="A377" s="785">
        <v>44206</v>
      </c>
      <c r="B377" t="s">
        <v>6691</v>
      </c>
      <c r="C377" s="765">
        <v>25985.07</v>
      </c>
      <c r="D377" s="765">
        <v>25985.07</v>
      </c>
      <c r="E377" s="765">
        <v>40490</v>
      </c>
      <c r="I377" s="765">
        <v>25985.07</v>
      </c>
    </row>
    <row r="379" spans="1:9">
      <c r="A379" t="s">
        <v>4138</v>
      </c>
      <c r="B379" s="765">
        <v>59840.44</v>
      </c>
      <c r="C379" s="765">
        <v>40490</v>
      </c>
      <c r="D379">
        <v>0</v>
      </c>
      <c r="E379">
        <v>0</v>
      </c>
      <c r="F379">
        <v>0</v>
      </c>
      <c r="G379" s="765">
        <v>40490</v>
      </c>
    </row>
    <row r="381" spans="1:9">
      <c r="A381">
        <v>11432</v>
      </c>
      <c r="B381" t="s">
        <v>5230</v>
      </c>
    </row>
    <row r="382" spans="1:9">
      <c r="A382" s="785">
        <v>43839</v>
      </c>
      <c r="B382" t="s">
        <v>5231</v>
      </c>
      <c r="C382" s="765">
        <v>4460.75</v>
      </c>
      <c r="D382" s="765">
        <v>4460.75</v>
      </c>
      <c r="E382" s="765">
        <v>4460.75</v>
      </c>
      <c r="I382" s="765">
        <v>4460.75</v>
      </c>
    </row>
    <row r="383" spans="1:9">
      <c r="A383" s="785">
        <v>44205</v>
      </c>
      <c r="B383" t="s">
        <v>6585</v>
      </c>
      <c r="C383" s="765">
        <v>4645.3599999999997</v>
      </c>
      <c r="D383" s="765">
        <v>4645.3599999999997</v>
      </c>
      <c r="E383" s="765">
        <v>9106.11</v>
      </c>
      <c r="I383" s="765">
        <v>4645.3599999999997</v>
      </c>
    </row>
    <row r="385" spans="1:9">
      <c r="A385" t="s">
        <v>4138</v>
      </c>
      <c r="B385" s="765">
        <v>9106.11</v>
      </c>
      <c r="C385" s="765">
        <v>9106.11</v>
      </c>
      <c r="D385">
        <v>0</v>
      </c>
      <c r="E385">
        <v>0</v>
      </c>
      <c r="F385">
        <v>0</v>
      </c>
      <c r="G385" s="765">
        <v>9106.11</v>
      </c>
    </row>
    <row r="387" spans="1:9">
      <c r="A387">
        <v>11439</v>
      </c>
      <c r="B387" t="s">
        <v>1022</v>
      </c>
    </row>
    <row r="388" spans="1:9">
      <c r="A388" s="785">
        <v>43476</v>
      </c>
      <c r="B388" t="s">
        <v>4305</v>
      </c>
      <c r="C388" s="765">
        <v>3212.45</v>
      </c>
      <c r="D388" s="765">
        <v>3165.14</v>
      </c>
      <c r="E388" s="765">
        <v>3165.14</v>
      </c>
      <c r="I388" s="765">
        <v>3165.14</v>
      </c>
    </row>
    <row r="389" spans="1:9">
      <c r="A389" s="785">
        <v>43477</v>
      </c>
      <c r="B389" t="s">
        <v>4306</v>
      </c>
      <c r="C389" s="765">
        <v>4362.79</v>
      </c>
      <c r="D389" s="765">
        <v>4362.79</v>
      </c>
      <c r="E389" s="765">
        <v>7527.93</v>
      </c>
      <c r="I389" s="765">
        <v>4362.79</v>
      </c>
    </row>
    <row r="390" spans="1:9">
      <c r="A390" s="785">
        <v>43983</v>
      </c>
      <c r="B390" t="s">
        <v>4307</v>
      </c>
      <c r="C390" s="765">
        <v>3823.57</v>
      </c>
      <c r="D390" s="765">
        <v>3823.57</v>
      </c>
      <c r="E390" s="765">
        <v>11351.5</v>
      </c>
      <c r="I390" s="765">
        <v>3823.57</v>
      </c>
    </row>
    <row r="391" spans="1:9">
      <c r="A391" s="785">
        <v>43923</v>
      </c>
      <c r="B391" t="s">
        <v>4308</v>
      </c>
      <c r="C391" s="765">
        <v>4210.8999999999996</v>
      </c>
      <c r="D391" s="765">
        <v>4210.8999999999996</v>
      </c>
      <c r="E391" s="765">
        <v>15562.4</v>
      </c>
      <c r="I391" s="765">
        <v>4210.8999999999996</v>
      </c>
    </row>
    <row r="392" spans="1:9">
      <c r="A392" s="785">
        <v>43893</v>
      </c>
      <c r="B392" t="s">
        <v>4309</v>
      </c>
      <c r="C392" s="765">
        <v>3380.48</v>
      </c>
      <c r="D392" s="765">
        <v>3380.48</v>
      </c>
      <c r="E392" s="765">
        <v>18942.88</v>
      </c>
      <c r="I392" s="765">
        <v>3380.48</v>
      </c>
    </row>
    <row r="393" spans="1:9">
      <c r="A393" s="785">
        <v>43986</v>
      </c>
      <c r="B393" t="s">
        <v>4310</v>
      </c>
      <c r="C393" s="765">
        <v>3154.01</v>
      </c>
      <c r="D393" s="765">
        <v>3154.01</v>
      </c>
      <c r="E393" s="765">
        <v>22096.89</v>
      </c>
      <c r="I393" s="765">
        <v>3154.01</v>
      </c>
    </row>
    <row r="394" spans="1:9">
      <c r="A394" s="785">
        <v>44048</v>
      </c>
      <c r="B394" t="s">
        <v>4311</v>
      </c>
      <c r="C394" s="765">
        <v>1908.37</v>
      </c>
      <c r="D394" s="765">
        <v>1908.37</v>
      </c>
      <c r="E394" s="765">
        <v>24005.26</v>
      </c>
      <c r="I394" s="765">
        <v>1908.37</v>
      </c>
    </row>
    <row r="395" spans="1:9">
      <c r="A395" s="785">
        <v>43867</v>
      </c>
      <c r="B395" t="s">
        <v>4312</v>
      </c>
      <c r="C395" s="765">
        <v>4080.68</v>
      </c>
      <c r="D395" s="765">
        <v>4080.68</v>
      </c>
      <c r="E395" s="765">
        <v>28085.94</v>
      </c>
      <c r="I395" s="765">
        <v>4080.68</v>
      </c>
    </row>
    <row r="396" spans="1:9">
      <c r="A396" s="785">
        <v>43930</v>
      </c>
      <c r="B396" t="s">
        <v>5232</v>
      </c>
      <c r="C396" s="765">
        <v>2864.86</v>
      </c>
      <c r="D396" s="765">
        <v>2864.86</v>
      </c>
      <c r="E396" s="765">
        <v>30950.799999999999</v>
      </c>
      <c r="I396" s="765">
        <v>2864.86</v>
      </c>
    </row>
    <row r="397" spans="1:9">
      <c r="A397" s="785">
        <v>44288</v>
      </c>
      <c r="B397" t="s">
        <v>5876</v>
      </c>
      <c r="C397" s="765">
        <v>1594.26</v>
      </c>
      <c r="D397" s="765">
        <v>1594.26</v>
      </c>
      <c r="E397" s="765">
        <v>32545.06</v>
      </c>
      <c r="I397" s="765">
        <v>1594.26</v>
      </c>
    </row>
    <row r="398" spans="1:9">
      <c r="A398" s="785">
        <v>44442</v>
      </c>
      <c r="B398" t="s">
        <v>5932</v>
      </c>
      <c r="C398" s="765">
        <v>1594.26</v>
      </c>
      <c r="D398" s="765">
        <v>1594.26</v>
      </c>
      <c r="E398" s="765">
        <v>34139.32</v>
      </c>
      <c r="I398" s="765">
        <v>1594.26</v>
      </c>
    </row>
    <row r="399" spans="1:9">
      <c r="A399" s="785">
        <v>44200</v>
      </c>
      <c r="B399" t="s">
        <v>6139</v>
      </c>
      <c r="C399" s="765">
        <v>1594.26</v>
      </c>
      <c r="D399" s="765">
        <v>1594.26</v>
      </c>
      <c r="E399" s="765">
        <v>35733.58</v>
      </c>
      <c r="I399" s="765">
        <v>1594.26</v>
      </c>
    </row>
    <row r="400" spans="1:9">
      <c r="A400" s="785">
        <v>44202</v>
      </c>
      <c r="B400" t="s">
        <v>6277</v>
      </c>
      <c r="C400" s="765">
        <v>1594.26</v>
      </c>
      <c r="D400" s="765">
        <v>1594.26</v>
      </c>
      <c r="E400" s="765">
        <v>37327.839999999997</v>
      </c>
      <c r="I400" s="765">
        <v>1594.26</v>
      </c>
    </row>
    <row r="401" spans="1:9">
      <c r="A401" s="785">
        <v>44203</v>
      </c>
      <c r="B401" t="s">
        <v>6383</v>
      </c>
      <c r="C401" s="765">
        <v>1594.26</v>
      </c>
      <c r="D401" s="765">
        <v>1594.26</v>
      </c>
      <c r="E401" s="765">
        <v>38922.1</v>
      </c>
      <c r="I401" s="765">
        <v>1594.26</v>
      </c>
    </row>
    <row r="402" spans="1:9">
      <c r="A402" s="785">
        <v>44296</v>
      </c>
      <c r="B402" t="s">
        <v>6692</v>
      </c>
      <c r="C402" s="765">
        <v>1594.26</v>
      </c>
      <c r="D402" s="765">
        <v>1594.26</v>
      </c>
      <c r="E402" s="765">
        <v>40516.36</v>
      </c>
      <c r="I402" s="765">
        <v>1594.26</v>
      </c>
    </row>
    <row r="404" spans="1:9">
      <c r="A404" t="s">
        <v>4138</v>
      </c>
      <c r="B404" s="765">
        <v>40563.67</v>
      </c>
      <c r="C404" s="765">
        <v>40516.36</v>
      </c>
      <c r="D404">
        <v>0</v>
      </c>
      <c r="E404">
        <v>0</v>
      </c>
      <c r="F404">
        <v>0</v>
      </c>
      <c r="G404" s="765">
        <v>40516.36</v>
      </c>
    </row>
    <row r="406" spans="1:9">
      <c r="A406">
        <v>11444</v>
      </c>
      <c r="B406" t="s">
        <v>6586</v>
      </c>
    </row>
    <row r="407" spans="1:9">
      <c r="A407" t="s">
        <v>6140</v>
      </c>
      <c r="B407" t="s">
        <v>6141</v>
      </c>
      <c r="C407" s="765">
        <v>24353.41</v>
      </c>
      <c r="D407" s="765">
        <v>24353.41</v>
      </c>
      <c r="E407" s="765">
        <v>24353.41</v>
      </c>
      <c r="I407" s="765">
        <v>24353.41</v>
      </c>
    </row>
    <row r="408" spans="1:9">
      <c r="A408" t="s">
        <v>6140</v>
      </c>
      <c r="B408" t="s">
        <v>6142</v>
      </c>
      <c r="C408" s="765">
        <v>5837.59</v>
      </c>
      <c r="D408" s="765">
        <v>5837.59</v>
      </c>
      <c r="E408" s="765">
        <v>30191</v>
      </c>
      <c r="I408" s="765">
        <v>5837.59</v>
      </c>
    </row>
    <row r="409" spans="1:9">
      <c r="A409" t="s">
        <v>6140</v>
      </c>
      <c r="B409" t="s">
        <v>6143</v>
      </c>
      <c r="C409" s="765">
        <v>4507.5</v>
      </c>
      <c r="D409" s="765">
        <v>4507.5</v>
      </c>
      <c r="E409" s="765">
        <v>34698.5</v>
      </c>
      <c r="I409" s="765">
        <v>4507.5</v>
      </c>
    </row>
    <row r="410" spans="1:9">
      <c r="A410" t="s">
        <v>6140</v>
      </c>
      <c r="B410" t="s">
        <v>6144</v>
      </c>
      <c r="C410" s="765">
        <v>58838.22</v>
      </c>
      <c r="D410" s="765">
        <v>58838.22</v>
      </c>
      <c r="E410" s="765">
        <v>93536.72</v>
      </c>
      <c r="I410" s="765">
        <v>58838.22</v>
      </c>
    </row>
    <row r="411" spans="1:9">
      <c r="A411" t="s">
        <v>6140</v>
      </c>
      <c r="B411" t="s">
        <v>6145</v>
      </c>
      <c r="C411" s="765">
        <v>4507.5</v>
      </c>
      <c r="D411" s="765">
        <v>4507.5</v>
      </c>
      <c r="E411" s="765">
        <v>98044.22</v>
      </c>
      <c r="I411" s="765">
        <v>4507.5</v>
      </c>
    </row>
    <row r="412" spans="1:9">
      <c r="A412" t="s">
        <v>6140</v>
      </c>
      <c r="B412" t="s">
        <v>6146</v>
      </c>
      <c r="C412" s="765">
        <v>4507.5</v>
      </c>
      <c r="D412" s="765">
        <v>4507.5</v>
      </c>
      <c r="E412" s="765">
        <v>102551.72</v>
      </c>
      <c r="I412" s="765">
        <v>4507.5</v>
      </c>
    </row>
    <row r="413" spans="1:9">
      <c r="A413" t="s">
        <v>6140</v>
      </c>
      <c r="B413" t="s">
        <v>6147</v>
      </c>
      <c r="C413" s="765">
        <v>4507.5</v>
      </c>
      <c r="D413" s="765">
        <v>4507.5</v>
      </c>
      <c r="E413" s="765">
        <v>107059.22</v>
      </c>
      <c r="I413" s="765">
        <v>4507.5</v>
      </c>
    </row>
    <row r="414" spans="1:9">
      <c r="A414" t="s">
        <v>6140</v>
      </c>
      <c r="B414" t="s">
        <v>6148</v>
      </c>
      <c r="C414" s="765">
        <v>78250.350000000006</v>
      </c>
      <c r="D414" s="765">
        <v>78250.350000000006</v>
      </c>
      <c r="E414" s="765">
        <v>185309.57</v>
      </c>
      <c r="I414" s="765">
        <v>78250.350000000006</v>
      </c>
    </row>
    <row r="415" spans="1:9">
      <c r="A415" t="s">
        <v>6149</v>
      </c>
      <c r="B415" t="s">
        <v>6150</v>
      </c>
      <c r="C415" s="765">
        <v>1247.51</v>
      </c>
      <c r="D415" s="765">
        <v>1247.51</v>
      </c>
      <c r="E415" s="765">
        <v>186557.08</v>
      </c>
      <c r="I415" s="765">
        <v>1247.51</v>
      </c>
    </row>
    <row r="416" spans="1:9">
      <c r="A416" s="785">
        <v>44352</v>
      </c>
      <c r="B416" t="s">
        <v>6210</v>
      </c>
      <c r="C416" s="765">
        <v>87083.72</v>
      </c>
      <c r="D416" s="765">
        <v>87083.72</v>
      </c>
      <c r="E416" s="765">
        <v>273640.8</v>
      </c>
      <c r="I416" s="765">
        <v>87083.72</v>
      </c>
    </row>
    <row r="417" spans="1:9">
      <c r="A417" t="s">
        <v>6211</v>
      </c>
      <c r="B417" t="s">
        <v>6212</v>
      </c>
      <c r="C417" s="765">
        <v>97821.1</v>
      </c>
      <c r="D417" s="765">
        <v>97821.1</v>
      </c>
      <c r="E417" s="765">
        <v>371461.9</v>
      </c>
      <c r="I417" s="765">
        <v>97821.1</v>
      </c>
    </row>
    <row r="418" spans="1:9">
      <c r="A418" t="s">
        <v>6211</v>
      </c>
      <c r="B418" t="s">
        <v>6213</v>
      </c>
      <c r="C418" s="765">
        <v>6783.26</v>
      </c>
      <c r="D418" s="765">
        <v>6783.26</v>
      </c>
      <c r="E418" s="765">
        <v>378245.16</v>
      </c>
      <c r="I418" s="765">
        <v>6783.26</v>
      </c>
    </row>
    <row r="419" spans="1:9">
      <c r="A419" t="s">
        <v>6211</v>
      </c>
      <c r="B419" t="s">
        <v>6214</v>
      </c>
      <c r="C419">
        <v>311.88</v>
      </c>
      <c r="D419">
        <v>311.88</v>
      </c>
      <c r="E419" s="765">
        <v>378557.04</v>
      </c>
      <c r="I419">
        <v>311.88</v>
      </c>
    </row>
    <row r="420" spans="1:9">
      <c r="A420" s="785">
        <v>44234</v>
      </c>
      <c r="B420" t="s">
        <v>6384</v>
      </c>
      <c r="C420" s="765">
        <v>22878.99</v>
      </c>
      <c r="D420" s="765">
        <v>22878.99</v>
      </c>
      <c r="E420" s="765">
        <v>401436.03</v>
      </c>
      <c r="I420" s="765">
        <v>22878.99</v>
      </c>
    </row>
    <row r="421" spans="1:9">
      <c r="A421" s="785">
        <v>44234</v>
      </c>
      <c r="B421" t="s">
        <v>6385</v>
      </c>
      <c r="C421" s="765">
        <v>120732.86</v>
      </c>
      <c r="D421" s="765">
        <v>120732.86</v>
      </c>
      <c r="E421" s="765">
        <v>522168.89</v>
      </c>
      <c r="I421" s="765">
        <v>120732.86</v>
      </c>
    </row>
    <row r="422" spans="1:9">
      <c r="A422" s="785">
        <v>44477</v>
      </c>
      <c r="B422" t="s">
        <v>6482</v>
      </c>
      <c r="C422" s="765">
        <v>111837.47</v>
      </c>
      <c r="D422" s="765">
        <v>111837.47</v>
      </c>
      <c r="E422" s="765">
        <v>634006.36</v>
      </c>
      <c r="I422" s="765">
        <v>111837.47</v>
      </c>
    </row>
    <row r="423" spans="1:9">
      <c r="A423" s="785">
        <v>44508</v>
      </c>
      <c r="B423" t="s">
        <v>6483</v>
      </c>
      <c r="C423" s="765">
        <v>20850.36</v>
      </c>
      <c r="D423" s="765">
        <v>20850.36</v>
      </c>
      <c r="E423" s="765">
        <v>654856.72</v>
      </c>
      <c r="I423" s="765">
        <v>20850.36</v>
      </c>
    </row>
    <row r="424" spans="1:9">
      <c r="A424" t="s">
        <v>6587</v>
      </c>
      <c r="B424" t="s">
        <v>6588</v>
      </c>
      <c r="C424" s="765">
        <v>17759.05</v>
      </c>
      <c r="D424" s="765">
        <v>17759.05</v>
      </c>
      <c r="E424" s="765">
        <v>672615.77</v>
      </c>
      <c r="I424" s="765">
        <v>17759.05</v>
      </c>
    </row>
    <row r="425" spans="1:9">
      <c r="A425" t="s">
        <v>6587</v>
      </c>
      <c r="B425" t="s">
        <v>6589</v>
      </c>
      <c r="C425" s="765">
        <v>114629.52</v>
      </c>
      <c r="D425" s="765">
        <v>114629.52</v>
      </c>
      <c r="E425" s="765">
        <v>787245.29</v>
      </c>
      <c r="I425" s="765">
        <v>114629.52</v>
      </c>
    </row>
    <row r="426" spans="1:9">
      <c r="A426" s="785">
        <v>44296</v>
      </c>
      <c r="B426" t="s">
        <v>6693</v>
      </c>
      <c r="C426" s="765">
        <v>20293.849999999999</v>
      </c>
      <c r="D426" s="765">
        <v>20293.849999999999</v>
      </c>
      <c r="E426" s="765">
        <v>807539.14</v>
      </c>
      <c r="I426" s="765">
        <v>20293.849999999999</v>
      </c>
    </row>
    <row r="427" spans="1:9">
      <c r="A427" s="785">
        <v>44296</v>
      </c>
      <c r="B427" t="s">
        <v>6694</v>
      </c>
      <c r="C427" s="765">
        <v>120923.91</v>
      </c>
      <c r="D427" s="765">
        <v>120923.91</v>
      </c>
      <c r="E427" s="765">
        <v>928463.05</v>
      </c>
      <c r="I427" s="765">
        <v>120923.91</v>
      </c>
    </row>
    <row r="428" spans="1:9">
      <c r="A428" t="s">
        <v>6695</v>
      </c>
      <c r="B428" t="s">
        <v>6696</v>
      </c>
      <c r="C428" s="765">
        <v>21396.16</v>
      </c>
      <c r="D428" s="765">
        <v>21396.16</v>
      </c>
      <c r="E428" s="765">
        <v>949859.21</v>
      </c>
      <c r="I428" s="765">
        <v>21396.16</v>
      </c>
    </row>
    <row r="429" spans="1:9">
      <c r="A429" t="s">
        <v>6695</v>
      </c>
      <c r="B429" t="s">
        <v>6697</v>
      </c>
      <c r="C429" s="765">
        <v>111692.4</v>
      </c>
      <c r="D429" s="765">
        <v>111692.4</v>
      </c>
      <c r="E429" s="765">
        <v>1061551.6100000001</v>
      </c>
      <c r="I429" s="765">
        <v>111692.4</v>
      </c>
    </row>
    <row r="430" spans="1:9">
      <c r="A430" s="785">
        <v>44267</v>
      </c>
      <c r="B430" t="s">
        <v>7128</v>
      </c>
      <c r="C430" s="765">
        <v>115233.58</v>
      </c>
      <c r="D430" s="765">
        <v>115233.58</v>
      </c>
      <c r="E430" s="765">
        <v>1176785.19</v>
      </c>
      <c r="H430" s="765">
        <v>115233.58</v>
      </c>
    </row>
    <row r="431" spans="1:9">
      <c r="A431" s="785">
        <v>44451</v>
      </c>
      <c r="B431" t="s">
        <v>7129</v>
      </c>
      <c r="C431" s="765">
        <v>23019.31</v>
      </c>
      <c r="D431" s="765">
        <v>23019.31</v>
      </c>
      <c r="E431" s="765">
        <v>1199804.5</v>
      </c>
      <c r="H431" s="765">
        <v>23019.31</v>
      </c>
    </row>
    <row r="433" spans="1:9">
      <c r="A433" t="s">
        <v>4138</v>
      </c>
      <c r="B433" s="765">
        <v>1199804.5</v>
      </c>
      <c r="C433" s="765">
        <v>1199804.5</v>
      </c>
      <c r="D433">
        <v>0</v>
      </c>
      <c r="E433">
        <v>0</v>
      </c>
      <c r="F433" s="765">
        <v>138252.89000000001</v>
      </c>
      <c r="G433" s="765">
        <v>1061551.6100000001</v>
      </c>
    </row>
    <row r="435" spans="1:9">
      <c r="A435">
        <v>11448</v>
      </c>
      <c r="B435" t="s">
        <v>3390</v>
      </c>
    </row>
    <row r="436" spans="1:9">
      <c r="A436" s="785">
        <v>43232</v>
      </c>
      <c r="B436" t="s">
        <v>4315</v>
      </c>
      <c r="C436" s="765">
        <v>3836.76</v>
      </c>
      <c r="D436" s="765">
        <v>3836.76</v>
      </c>
      <c r="E436" s="765">
        <v>3836.76</v>
      </c>
      <c r="I436" s="765">
        <v>3836.76</v>
      </c>
    </row>
    <row r="438" spans="1:9">
      <c r="A438" t="s">
        <v>4138</v>
      </c>
      <c r="B438" s="765">
        <v>3836.76</v>
      </c>
      <c r="C438" s="765">
        <v>3836.76</v>
      </c>
      <c r="D438">
        <v>0</v>
      </c>
      <c r="E438">
        <v>0</v>
      </c>
      <c r="F438">
        <v>0</v>
      </c>
      <c r="G438" s="765">
        <v>3836.76</v>
      </c>
    </row>
    <row r="440" spans="1:9">
      <c r="A440">
        <v>11451</v>
      </c>
      <c r="B440" t="s">
        <v>7130</v>
      </c>
    </row>
    <row r="441" spans="1:9">
      <c r="A441" s="785">
        <v>44208</v>
      </c>
      <c r="B441" t="s">
        <v>7131</v>
      </c>
      <c r="C441" s="765">
        <v>144018.42000000001</v>
      </c>
      <c r="D441" s="765">
        <v>144018.42000000001</v>
      </c>
      <c r="E441" s="765">
        <v>144018.42000000001</v>
      </c>
      <c r="H441" s="765">
        <v>144018.42000000001</v>
      </c>
    </row>
    <row r="443" spans="1:9">
      <c r="A443" t="s">
        <v>4138</v>
      </c>
      <c r="B443" s="765">
        <v>144018.42000000001</v>
      </c>
      <c r="C443" s="765">
        <v>144018.42000000001</v>
      </c>
      <c r="D443">
        <v>0</v>
      </c>
      <c r="E443">
        <v>0</v>
      </c>
      <c r="F443" s="765">
        <v>144018.42000000001</v>
      </c>
      <c r="G443">
        <v>0</v>
      </c>
    </row>
    <row r="445" spans="1:9">
      <c r="A445">
        <v>11471</v>
      </c>
      <c r="B445" t="s">
        <v>5745</v>
      </c>
    </row>
    <row r="446" spans="1:9">
      <c r="A446" t="s">
        <v>6847</v>
      </c>
      <c r="B446" t="s">
        <v>6856</v>
      </c>
      <c r="C446" s="765">
        <v>2336.42</v>
      </c>
      <c r="D446" s="765">
        <v>2336.42</v>
      </c>
      <c r="E446" s="765">
        <v>2336.42</v>
      </c>
      <c r="H446" s="765">
        <v>2336.42</v>
      </c>
    </row>
    <row r="447" spans="1:9">
      <c r="A447" t="s">
        <v>6857</v>
      </c>
      <c r="B447" t="s">
        <v>6858</v>
      </c>
      <c r="C447" s="765">
        <v>69283.25</v>
      </c>
      <c r="D447" s="765">
        <v>69283.25</v>
      </c>
      <c r="E447" s="765">
        <v>71619.67</v>
      </c>
      <c r="H447" s="765">
        <v>69283.25</v>
      </c>
    </row>
    <row r="449" spans="1:9">
      <c r="A449" t="s">
        <v>4138</v>
      </c>
      <c r="B449" s="765">
        <v>71619.67</v>
      </c>
      <c r="C449" s="765">
        <v>71619.67</v>
      </c>
      <c r="D449">
        <v>0</v>
      </c>
      <c r="E449">
        <v>0</v>
      </c>
      <c r="F449" s="765">
        <v>71619.67</v>
      </c>
      <c r="G449">
        <v>0</v>
      </c>
    </row>
    <row r="451" spans="1:9">
      <c r="A451">
        <v>11472</v>
      </c>
      <c r="B451" t="s">
        <v>3391</v>
      </c>
    </row>
    <row r="452" spans="1:9">
      <c r="A452" s="785">
        <v>43232</v>
      </c>
      <c r="B452" t="s">
        <v>4318</v>
      </c>
      <c r="C452" s="765">
        <v>10789.44</v>
      </c>
      <c r="D452" s="765">
        <v>10789.44</v>
      </c>
      <c r="E452" s="765">
        <v>10789.44</v>
      </c>
      <c r="I452" s="765">
        <v>10789.44</v>
      </c>
    </row>
    <row r="453" spans="1:9">
      <c r="A453" s="785">
        <v>43232</v>
      </c>
      <c r="B453" t="s">
        <v>4319</v>
      </c>
      <c r="C453" s="765">
        <v>11615.22</v>
      </c>
      <c r="D453" s="765">
        <v>11615.22</v>
      </c>
      <c r="E453" s="765">
        <v>22404.66</v>
      </c>
      <c r="I453" s="765">
        <v>11615.22</v>
      </c>
    </row>
    <row r="454" spans="1:9">
      <c r="A454" s="785">
        <v>43232</v>
      </c>
      <c r="B454" t="s">
        <v>4320</v>
      </c>
      <c r="C454" s="765">
        <v>8947.31</v>
      </c>
      <c r="D454" s="765">
        <v>8947.31</v>
      </c>
      <c r="E454" s="765">
        <v>31351.97</v>
      </c>
      <c r="I454" s="765">
        <v>8947.31</v>
      </c>
    </row>
    <row r="455" spans="1:9">
      <c r="A455" s="785">
        <v>43232</v>
      </c>
      <c r="B455" t="s">
        <v>4321</v>
      </c>
      <c r="C455" s="765">
        <v>10598.87</v>
      </c>
      <c r="D455" s="765">
        <v>10598.87</v>
      </c>
      <c r="E455" s="765">
        <v>41950.84</v>
      </c>
      <c r="I455" s="765">
        <v>10598.87</v>
      </c>
    </row>
    <row r="456" spans="1:9">
      <c r="A456" s="785">
        <v>43232</v>
      </c>
      <c r="B456" t="s">
        <v>4322</v>
      </c>
      <c r="C456" s="765">
        <v>10313.030000000001</v>
      </c>
      <c r="D456" s="765">
        <v>10313.030000000001</v>
      </c>
      <c r="E456" s="765">
        <v>52263.87</v>
      </c>
      <c r="I456" s="765">
        <v>10313.030000000001</v>
      </c>
    </row>
    <row r="457" spans="1:9">
      <c r="A457" s="785">
        <v>43232</v>
      </c>
      <c r="B457" t="s">
        <v>4323</v>
      </c>
      <c r="C457" s="765">
        <v>9550.77</v>
      </c>
      <c r="D457" s="765">
        <v>9550.77</v>
      </c>
      <c r="E457" s="765">
        <v>61814.64</v>
      </c>
      <c r="I457" s="765">
        <v>9550.77</v>
      </c>
    </row>
    <row r="458" spans="1:9">
      <c r="A458" s="785">
        <v>43232</v>
      </c>
      <c r="B458" t="s">
        <v>4324</v>
      </c>
      <c r="C458" s="765">
        <v>9741.33</v>
      </c>
      <c r="D458" s="765">
        <v>9741.33</v>
      </c>
      <c r="E458" s="765">
        <v>71555.97</v>
      </c>
      <c r="I458" s="765">
        <v>9741.33</v>
      </c>
    </row>
    <row r="459" spans="1:9">
      <c r="A459" s="785">
        <v>43232</v>
      </c>
      <c r="B459" t="s">
        <v>4325</v>
      </c>
      <c r="C459" s="765">
        <v>9010.83</v>
      </c>
      <c r="D459" s="765">
        <v>9010.83</v>
      </c>
      <c r="E459" s="765">
        <v>80566.8</v>
      </c>
      <c r="I459" s="765">
        <v>9010.83</v>
      </c>
    </row>
    <row r="460" spans="1:9">
      <c r="A460" s="785">
        <v>43232</v>
      </c>
      <c r="B460" t="s">
        <v>4326</v>
      </c>
      <c r="C460" s="765">
        <v>9010.83</v>
      </c>
      <c r="D460" s="765">
        <v>9010.83</v>
      </c>
      <c r="E460" s="765">
        <v>89577.63</v>
      </c>
      <c r="I460" s="765">
        <v>9010.83</v>
      </c>
    </row>
    <row r="461" spans="1:9">
      <c r="A461" s="785">
        <v>43232</v>
      </c>
      <c r="B461" t="s">
        <v>4327</v>
      </c>
      <c r="C461" s="765">
        <v>13692.14</v>
      </c>
      <c r="D461" s="765">
        <v>13692.14</v>
      </c>
      <c r="E461" s="765">
        <v>103269.77</v>
      </c>
      <c r="I461" s="765">
        <v>13692.14</v>
      </c>
    </row>
    <row r="462" spans="1:9">
      <c r="A462" s="785">
        <v>43232</v>
      </c>
      <c r="B462" t="s">
        <v>4328</v>
      </c>
      <c r="C462" s="765">
        <v>12267.57</v>
      </c>
      <c r="D462" s="765">
        <v>12267.57</v>
      </c>
      <c r="E462" s="765">
        <v>115537.34</v>
      </c>
      <c r="I462" s="765">
        <v>12267.57</v>
      </c>
    </row>
    <row r="463" spans="1:9">
      <c r="A463" s="785">
        <v>43232</v>
      </c>
      <c r="B463" t="s">
        <v>4329</v>
      </c>
      <c r="C463" s="765">
        <v>20407.98</v>
      </c>
      <c r="D463" s="765">
        <v>20407.98</v>
      </c>
      <c r="E463" s="765">
        <v>135945.32</v>
      </c>
      <c r="I463" s="765">
        <v>20407.98</v>
      </c>
    </row>
    <row r="464" spans="1:9">
      <c r="A464" s="785">
        <v>43232</v>
      </c>
      <c r="B464" t="s">
        <v>4330</v>
      </c>
      <c r="C464" s="765">
        <v>17949.96</v>
      </c>
      <c r="D464" s="765">
        <v>17949.96</v>
      </c>
      <c r="E464" s="765">
        <v>153895.28</v>
      </c>
      <c r="I464" s="765">
        <v>17949.96</v>
      </c>
    </row>
    <row r="465" spans="1:9">
      <c r="A465" s="785">
        <v>43410</v>
      </c>
      <c r="B465" t="s">
        <v>4331</v>
      </c>
      <c r="C465" s="765">
        <v>20833.02</v>
      </c>
      <c r="D465" s="765">
        <v>20833.02</v>
      </c>
      <c r="E465" s="765">
        <v>174728.3</v>
      </c>
      <c r="I465" s="765">
        <v>20833.02</v>
      </c>
    </row>
    <row r="466" spans="1:9">
      <c r="A466" s="785">
        <v>43411</v>
      </c>
      <c r="B466" t="s">
        <v>4332</v>
      </c>
      <c r="C466" s="765">
        <v>23207.31</v>
      </c>
      <c r="D466" s="765">
        <v>23207.31</v>
      </c>
      <c r="E466" s="765">
        <v>197935.61</v>
      </c>
      <c r="I466" s="765">
        <v>23207.31</v>
      </c>
    </row>
    <row r="467" spans="1:9">
      <c r="A467" s="785">
        <v>43259</v>
      </c>
      <c r="B467" t="s">
        <v>4333</v>
      </c>
      <c r="C467" s="765">
        <v>14965.14</v>
      </c>
      <c r="D467" s="765">
        <v>14965.14</v>
      </c>
      <c r="E467" s="765">
        <v>212900.75</v>
      </c>
      <c r="I467" s="765">
        <v>14965.14</v>
      </c>
    </row>
    <row r="468" spans="1:9">
      <c r="A468" t="s">
        <v>4334</v>
      </c>
      <c r="B468" t="s">
        <v>4335</v>
      </c>
      <c r="C468" s="765">
        <v>11844.64</v>
      </c>
      <c r="D468" s="765">
        <v>11844.64</v>
      </c>
      <c r="E468" s="765">
        <v>224745.39</v>
      </c>
      <c r="I468" s="765">
        <v>11844.64</v>
      </c>
    </row>
    <row r="470" spans="1:9">
      <c r="A470" t="s">
        <v>4138</v>
      </c>
      <c r="B470" s="765">
        <v>224745.39</v>
      </c>
      <c r="C470" s="765">
        <v>224745.39</v>
      </c>
      <c r="D470">
        <v>0</v>
      </c>
      <c r="E470">
        <v>0</v>
      </c>
      <c r="F470">
        <v>0</v>
      </c>
      <c r="G470" s="765">
        <v>224745.39</v>
      </c>
    </row>
    <row r="472" spans="1:9">
      <c r="A472">
        <v>11473</v>
      </c>
      <c r="B472" t="s">
        <v>4336</v>
      </c>
    </row>
    <row r="473" spans="1:9">
      <c r="A473" s="785">
        <v>44208</v>
      </c>
      <c r="B473" t="s">
        <v>7132</v>
      </c>
      <c r="C473" s="765">
        <v>263563.45</v>
      </c>
      <c r="D473" s="765">
        <v>263563.45</v>
      </c>
      <c r="E473" s="765">
        <v>263563.45</v>
      </c>
      <c r="H473" s="765">
        <v>263563.45</v>
      </c>
    </row>
    <row r="475" spans="1:9">
      <c r="A475" t="s">
        <v>4138</v>
      </c>
      <c r="B475" s="765">
        <v>263563.45</v>
      </c>
      <c r="C475" s="765">
        <v>263563.45</v>
      </c>
      <c r="D475">
        <v>0</v>
      </c>
      <c r="E475">
        <v>0</v>
      </c>
      <c r="F475" s="765">
        <v>263563.45</v>
      </c>
      <c r="G475">
        <v>0</v>
      </c>
    </row>
    <row r="477" spans="1:9">
      <c r="A477">
        <v>11475</v>
      </c>
      <c r="B477" t="s">
        <v>3392</v>
      </c>
    </row>
    <row r="478" spans="1:9">
      <c r="A478" t="s">
        <v>4337</v>
      </c>
      <c r="B478" t="s">
        <v>4338</v>
      </c>
      <c r="C478" s="765">
        <v>3718.69</v>
      </c>
      <c r="D478" s="765">
        <v>3718.69</v>
      </c>
      <c r="E478" s="765">
        <v>3718.69</v>
      </c>
      <c r="I478" s="765">
        <v>3718.69</v>
      </c>
    </row>
    <row r="480" spans="1:9">
      <c r="A480" t="s">
        <v>4138</v>
      </c>
      <c r="B480" s="765">
        <v>3718.69</v>
      </c>
      <c r="C480" s="765">
        <v>3718.69</v>
      </c>
      <c r="D480">
        <v>0</v>
      </c>
      <c r="E480">
        <v>0</v>
      </c>
      <c r="F480">
        <v>0</v>
      </c>
      <c r="G480" s="765">
        <v>3718.69</v>
      </c>
    </row>
    <row r="482" spans="1:9">
      <c r="A482">
        <v>11480</v>
      </c>
      <c r="B482" t="s">
        <v>3393</v>
      </c>
    </row>
    <row r="483" spans="1:9">
      <c r="A483" s="785">
        <v>43353</v>
      </c>
      <c r="B483" t="s">
        <v>4339</v>
      </c>
      <c r="C483">
        <v>754.68</v>
      </c>
      <c r="D483">
        <v>754.68</v>
      </c>
      <c r="E483">
        <v>754.68</v>
      </c>
      <c r="I483">
        <v>754.68</v>
      </c>
    </row>
    <row r="485" spans="1:9">
      <c r="A485" t="s">
        <v>4138</v>
      </c>
      <c r="B485">
        <v>754.68</v>
      </c>
      <c r="C485">
        <v>754.68</v>
      </c>
      <c r="D485">
        <v>0</v>
      </c>
      <c r="E485">
        <v>0</v>
      </c>
      <c r="F485">
        <v>0</v>
      </c>
      <c r="G485">
        <v>754.68</v>
      </c>
    </row>
    <row r="487" spans="1:9">
      <c r="A487">
        <v>11496</v>
      </c>
      <c r="B487" t="s">
        <v>4340</v>
      </c>
    </row>
    <row r="488" spans="1:9">
      <c r="A488" t="s">
        <v>4341</v>
      </c>
      <c r="B488" t="s">
        <v>4342</v>
      </c>
      <c r="C488" s="765">
        <v>1909.43</v>
      </c>
      <c r="D488" s="765">
        <v>1909.43</v>
      </c>
      <c r="E488" s="765">
        <v>1909.43</v>
      </c>
      <c r="I488" s="765">
        <v>1909.43</v>
      </c>
    </row>
    <row r="489" spans="1:9">
      <c r="A489" s="785">
        <v>43983</v>
      </c>
      <c r="B489" t="s">
        <v>4343</v>
      </c>
      <c r="C489" s="765">
        <v>1149.42</v>
      </c>
      <c r="D489" s="765">
        <v>1149.42</v>
      </c>
      <c r="E489" s="765">
        <v>3058.85</v>
      </c>
      <c r="I489" s="765">
        <v>1149.42</v>
      </c>
    </row>
    <row r="491" spans="1:9">
      <c r="A491" t="s">
        <v>4138</v>
      </c>
      <c r="B491" s="765">
        <v>3058.85</v>
      </c>
      <c r="C491" s="765">
        <v>3058.85</v>
      </c>
      <c r="D491">
        <v>0</v>
      </c>
      <c r="E491">
        <v>0</v>
      </c>
      <c r="F491">
        <v>0</v>
      </c>
      <c r="G491" s="765">
        <v>3058.85</v>
      </c>
    </row>
    <row r="493" spans="1:9">
      <c r="A493">
        <v>11505</v>
      </c>
      <c r="B493" t="s">
        <v>4344</v>
      </c>
    </row>
    <row r="494" spans="1:9">
      <c r="A494" s="785">
        <v>44356</v>
      </c>
      <c r="B494" t="s">
        <v>6590</v>
      </c>
      <c r="C494" s="765">
        <v>13460.79</v>
      </c>
      <c r="D494" s="765">
        <v>13460.79</v>
      </c>
      <c r="E494" s="765">
        <v>13460.79</v>
      </c>
      <c r="I494" s="765">
        <v>13460.79</v>
      </c>
    </row>
    <row r="495" spans="1:9">
      <c r="A495" s="785">
        <v>44296</v>
      </c>
      <c r="B495" t="s">
        <v>6698</v>
      </c>
      <c r="C495" s="765">
        <v>14800.93</v>
      </c>
      <c r="D495" s="765">
        <v>14800.93</v>
      </c>
      <c r="E495" s="765">
        <v>28261.72</v>
      </c>
      <c r="I495" s="765">
        <v>14800.93</v>
      </c>
    </row>
    <row r="496" spans="1:9">
      <c r="A496" s="785">
        <v>44238</v>
      </c>
      <c r="B496" t="s">
        <v>6859</v>
      </c>
      <c r="C496" s="765">
        <v>10473.34</v>
      </c>
      <c r="D496" s="765">
        <v>10473.34</v>
      </c>
      <c r="E496" s="765">
        <v>38735.06</v>
      </c>
      <c r="I496" s="765">
        <v>10473.34</v>
      </c>
    </row>
    <row r="497" spans="1:8">
      <c r="A497" s="785">
        <v>44208</v>
      </c>
      <c r="B497" t="s">
        <v>7133</v>
      </c>
      <c r="C497" s="765">
        <v>11625.2</v>
      </c>
      <c r="D497" s="765">
        <v>11625.2</v>
      </c>
      <c r="E497" s="765">
        <v>50360.26</v>
      </c>
      <c r="H497" s="765">
        <v>11625.2</v>
      </c>
    </row>
    <row r="499" spans="1:8">
      <c r="A499" t="s">
        <v>4138</v>
      </c>
      <c r="B499" s="765">
        <v>50360.26</v>
      </c>
      <c r="C499" s="765">
        <v>50360.26</v>
      </c>
      <c r="D499">
        <v>0</v>
      </c>
      <c r="E499">
        <v>0</v>
      </c>
      <c r="F499" s="765">
        <v>11625.2</v>
      </c>
      <c r="G499" s="765">
        <v>38735.06</v>
      </c>
    </row>
    <row r="501" spans="1:8">
      <c r="A501">
        <v>11518</v>
      </c>
      <c r="B501" t="s">
        <v>6699</v>
      </c>
    </row>
    <row r="502" spans="1:8">
      <c r="A502" t="s">
        <v>7134</v>
      </c>
      <c r="B502" t="s">
        <v>7135</v>
      </c>
      <c r="C502" s="765">
        <v>3168.41</v>
      </c>
      <c r="D502" s="765">
        <v>3168.41</v>
      </c>
      <c r="E502" s="765">
        <v>3168.41</v>
      </c>
      <c r="G502" s="765">
        <v>3168.41</v>
      </c>
    </row>
    <row r="504" spans="1:8">
      <c r="A504" t="s">
        <v>4138</v>
      </c>
      <c r="B504" s="765">
        <v>3168.41</v>
      </c>
      <c r="C504" s="765">
        <v>3168.41</v>
      </c>
      <c r="D504">
        <v>0</v>
      </c>
      <c r="E504" s="765">
        <v>3168.41</v>
      </c>
      <c r="F504">
        <v>0</v>
      </c>
      <c r="G504">
        <v>0</v>
      </c>
    </row>
    <row r="506" spans="1:8">
      <c r="A506">
        <v>11519</v>
      </c>
      <c r="B506" t="s">
        <v>7136</v>
      </c>
    </row>
    <row r="507" spans="1:8">
      <c r="A507" s="785">
        <v>44267</v>
      </c>
      <c r="B507" t="s">
        <v>7137</v>
      </c>
      <c r="C507" s="765">
        <v>6557.56</v>
      </c>
      <c r="D507" s="765">
        <v>6557.56</v>
      </c>
      <c r="E507" s="765">
        <v>6557.56</v>
      </c>
      <c r="H507" s="765">
        <v>6557.56</v>
      </c>
    </row>
    <row r="509" spans="1:8">
      <c r="A509" t="s">
        <v>4138</v>
      </c>
      <c r="B509" s="765">
        <v>6557.56</v>
      </c>
      <c r="C509" s="765">
        <v>6557.56</v>
      </c>
      <c r="D509">
        <v>0</v>
      </c>
      <c r="E509">
        <v>0</v>
      </c>
      <c r="F509" s="765">
        <v>6557.56</v>
      </c>
      <c r="G509">
        <v>0</v>
      </c>
    </row>
    <row r="511" spans="1:8">
      <c r="A511">
        <v>11524</v>
      </c>
      <c r="B511" t="s">
        <v>7138</v>
      </c>
    </row>
    <row r="512" spans="1:8">
      <c r="A512" s="785">
        <v>44208</v>
      </c>
      <c r="B512" t="s">
        <v>7139</v>
      </c>
      <c r="C512" s="765">
        <v>1806.66</v>
      </c>
      <c r="D512" s="765">
        <v>1806.66</v>
      </c>
      <c r="E512" s="765">
        <v>1806.66</v>
      </c>
      <c r="H512" s="765">
        <v>1806.66</v>
      </c>
    </row>
    <row r="514" spans="1:9">
      <c r="A514" t="s">
        <v>4138</v>
      </c>
      <c r="B514" s="765">
        <v>1806.66</v>
      </c>
      <c r="C514" s="765">
        <v>1806.66</v>
      </c>
      <c r="D514">
        <v>0</v>
      </c>
      <c r="E514">
        <v>0</v>
      </c>
      <c r="F514" s="765">
        <v>1806.66</v>
      </c>
      <c r="G514">
        <v>0</v>
      </c>
    </row>
    <row r="516" spans="1:9">
      <c r="A516">
        <v>11541</v>
      </c>
      <c r="B516" t="s">
        <v>3394</v>
      </c>
    </row>
    <row r="517" spans="1:9">
      <c r="A517" s="785">
        <v>44208</v>
      </c>
      <c r="B517" t="s">
        <v>7140</v>
      </c>
      <c r="C517" s="765">
        <v>22313.51</v>
      </c>
      <c r="D517" s="765">
        <v>22313.51</v>
      </c>
      <c r="E517" s="765">
        <v>22313.51</v>
      </c>
      <c r="H517" s="765">
        <v>22313.51</v>
      </c>
    </row>
    <row r="518" spans="1:9">
      <c r="A518" s="785">
        <v>44389</v>
      </c>
      <c r="B518" t="s">
        <v>7141</v>
      </c>
      <c r="C518" s="765">
        <v>30524.76</v>
      </c>
      <c r="D518" s="765">
        <v>30524.76</v>
      </c>
      <c r="E518" s="765">
        <v>52838.27</v>
      </c>
      <c r="H518" s="765">
        <v>30524.76</v>
      </c>
    </row>
    <row r="520" spans="1:9">
      <c r="A520" t="s">
        <v>4138</v>
      </c>
      <c r="B520" s="765">
        <v>52838.27</v>
      </c>
      <c r="C520" s="765">
        <v>52838.27</v>
      </c>
      <c r="D520">
        <v>0</v>
      </c>
      <c r="E520">
        <v>0</v>
      </c>
      <c r="F520" s="765">
        <v>52838.27</v>
      </c>
      <c r="G520">
        <v>0</v>
      </c>
    </row>
    <row r="522" spans="1:9">
      <c r="A522">
        <v>11546</v>
      </c>
      <c r="B522" t="s">
        <v>6700</v>
      </c>
    </row>
    <row r="523" spans="1:9">
      <c r="A523" s="785">
        <v>44207</v>
      </c>
      <c r="B523" t="s">
        <v>6860</v>
      </c>
      <c r="C523" s="765">
        <v>14607.89</v>
      </c>
      <c r="D523" s="765">
        <v>14607.89</v>
      </c>
      <c r="E523" s="765">
        <v>14607.89</v>
      </c>
      <c r="I523" s="765">
        <v>14607.89</v>
      </c>
    </row>
    <row r="524" spans="1:9">
      <c r="A524" s="785">
        <v>44208</v>
      </c>
      <c r="B524" t="s">
        <v>7142</v>
      </c>
      <c r="C524" s="765">
        <v>8564.7999999999993</v>
      </c>
      <c r="D524" s="765">
        <v>8564.7999999999993</v>
      </c>
      <c r="E524" s="765">
        <v>23172.69</v>
      </c>
      <c r="H524" s="765">
        <v>8564.7999999999993</v>
      </c>
    </row>
    <row r="526" spans="1:9">
      <c r="A526" t="s">
        <v>4138</v>
      </c>
      <c r="B526" s="765">
        <v>23172.69</v>
      </c>
      <c r="C526" s="765">
        <v>23172.69</v>
      </c>
      <c r="D526">
        <v>0</v>
      </c>
      <c r="E526">
        <v>0</v>
      </c>
      <c r="F526" s="765">
        <v>8564.7999999999993</v>
      </c>
      <c r="G526" s="765">
        <v>14607.89</v>
      </c>
    </row>
    <row r="528" spans="1:9">
      <c r="A528">
        <v>11604</v>
      </c>
      <c r="B528" t="s">
        <v>4345</v>
      </c>
    </row>
    <row r="529" spans="1:9">
      <c r="A529" s="785">
        <v>43232</v>
      </c>
      <c r="B529" t="s">
        <v>4346</v>
      </c>
      <c r="C529" s="765">
        <v>5108.22</v>
      </c>
      <c r="D529" s="765">
        <v>5108.22</v>
      </c>
      <c r="E529" s="765">
        <v>5108.22</v>
      </c>
      <c r="I529" s="765">
        <v>5108.22</v>
      </c>
    </row>
    <row r="530" spans="1:9">
      <c r="A530" s="785">
        <v>43232</v>
      </c>
      <c r="B530" t="s">
        <v>4347</v>
      </c>
      <c r="C530" s="765">
        <v>5089.78</v>
      </c>
      <c r="D530" s="765">
        <v>5089.78</v>
      </c>
      <c r="E530" s="765">
        <v>10198</v>
      </c>
      <c r="I530" s="765">
        <v>5089.78</v>
      </c>
    </row>
    <row r="531" spans="1:9">
      <c r="A531" s="785">
        <v>43232</v>
      </c>
      <c r="B531" t="s">
        <v>4348</v>
      </c>
      <c r="C531" s="765">
        <v>6868.38</v>
      </c>
      <c r="D531" s="765">
        <v>6868.38</v>
      </c>
      <c r="E531" s="765">
        <v>17066.38</v>
      </c>
      <c r="I531" s="765">
        <v>6868.38</v>
      </c>
    </row>
    <row r="532" spans="1:9">
      <c r="A532" s="785">
        <v>43232</v>
      </c>
      <c r="B532" t="s">
        <v>4349</v>
      </c>
      <c r="C532" s="765">
        <v>7249.51</v>
      </c>
      <c r="D532" s="765">
        <v>7249.51</v>
      </c>
      <c r="E532" s="765">
        <v>24315.89</v>
      </c>
      <c r="I532" s="765">
        <v>7249.51</v>
      </c>
    </row>
    <row r="533" spans="1:9">
      <c r="A533" s="785">
        <v>43232</v>
      </c>
      <c r="B533" t="s">
        <v>4350</v>
      </c>
      <c r="C533" s="765">
        <v>6646.06</v>
      </c>
      <c r="D533" s="765">
        <v>6646.06</v>
      </c>
      <c r="E533" s="765">
        <v>30961.95</v>
      </c>
      <c r="I533" s="765">
        <v>6646.06</v>
      </c>
    </row>
    <row r="534" spans="1:9">
      <c r="A534" s="785">
        <v>43232</v>
      </c>
      <c r="B534" t="s">
        <v>4351</v>
      </c>
      <c r="C534" s="765">
        <v>14868.96</v>
      </c>
      <c r="D534" s="765">
        <v>14868.96</v>
      </c>
      <c r="E534" s="765">
        <v>45830.91</v>
      </c>
      <c r="I534" s="765">
        <v>14868.96</v>
      </c>
    </row>
    <row r="535" spans="1:9">
      <c r="A535" s="785">
        <v>43232</v>
      </c>
      <c r="B535" t="s">
        <v>4352</v>
      </c>
      <c r="C535" s="765">
        <v>3374.7</v>
      </c>
      <c r="D535" s="765">
        <v>3374.7</v>
      </c>
      <c r="E535" s="765">
        <v>49205.61</v>
      </c>
      <c r="I535" s="765">
        <v>3374.7</v>
      </c>
    </row>
    <row r="536" spans="1:9">
      <c r="A536" s="785">
        <v>43232</v>
      </c>
      <c r="B536" t="s">
        <v>4353</v>
      </c>
      <c r="C536" s="765">
        <v>3342.93</v>
      </c>
      <c r="D536" s="765">
        <v>3342.93</v>
      </c>
      <c r="E536" s="765">
        <v>52548.54</v>
      </c>
      <c r="I536" s="765">
        <v>3342.93</v>
      </c>
    </row>
    <row r="537" spans="1:9">
      <c r="A537" s="785">
        <v>43232</v>
      </c>
      <c r="B537" t="s">
        <v>4354</v>
      </c>
      <c r="C537" s="765">
        <v>1818.42</v>
      </c>
      <c r="D537" s="765">
        <v>1818.42</v>
      </c>
      <c r="E537" s="765">
        <v>54366.96</v>
      </c>
      <c r="I537" s="765">
        <v>1818.42</v>
      </c>
    </row>
    <row r="538" spans="1:9">
      <c r="A538" s="785">
        <v>43232</v>
      </c>
      <c r="B538" t="s">
        <v>4355</v>
      </c>
      <c r="C538">
        <v>704.56</v>
      </c>
      <c r="D538">
        <v>704.56</v>
      </c>
      <c r="E538" s="765">
        <v>55071.519999999997</v>
      </c>
      <c r="I538">
        <v>704.56</v>
      </c>
    </row>
    <row r="539" spans="1:9">
      <c r="A539" s="785">
        <v>43410</v>
      </c>
      <c r="B539" t="s">
        <v>4357</v>
      </c>
      <c r="C539" s="765">
        <v>1469.37</v>
      </c>
      <c r="D539" s="765">
        <v>1469.37</v>
      </c>
      <c r="E539" s="765">
        <v>56540.89</v>
      </c>
      <c r="I539" s="765">
        <v>1469.37</v>
      </c>
    </row>
    <row r="540" spans="1:9">
      <c r="A540" s="785">
        <v>43410</v>
      </c>
      <c r="B540" t="s">
        <v>4358</v>
      </c>
      <c r="C540" s="765">
        <v>4884.25</v>
      </c>
      <c r="D540" s="765">
        <v>4884.25</v>
      </c>
      <c r="E540" s="765">
        <v>61425.14</v>
      </c>
      <c r="I540" s="765">
        <v>4884.25</v>
      </c>
    </row>
    <row r="541" spans="1:9">
      <c r="A541" s="785">
        <v>43259</v>
      </c>
      <c r="B541" t="s">
        <v>4359</v>
      </c>
      <c r="C541" s="765">
        <v>5220.5</v>
      </c>
      <c r="D541" s="765">
        <v>5220.5</v>
      </c>
      <c r="E541" s="765">
        <v>66645.64</v>
      </c>
      <c r="I541" s="765">
        <v>5220.5</v>
      </c>
    </row>
    <row r="542" spans="1:9">
      <c r="A542" t="s">
        <v>4334</v>
      </c>
      <c r="B542" t="s">
        <v>4360</v>
      </c>
      <c r="C542" s="765">
        <v>5457.93</v>
      </c>
      <c r="D542" s="765">
        <v>5457.93</v>
      </c>
      <c r="E542" s="765">
        <v>72103.570000000007</v>
      </c>
      <c r="I542" s="765">
        <v>5457.93</v>
      </c>
    </row>
    <row r="543" spans="1:9">
      <c r="A543" s="785">
        <v>43292</v>
      </c>
      <c r="B543" t="s">
        <v>4361</v>
      </c>
      <c r="C543" s="765">
        <v>33203.17</v>
      </c>
      <c r="D543" s="765">
        <v>33203.17</v>
      </c>
      <c r="E543" s="765">
        <v>105306.74</v>
      </c>
      <c r="I543" s="765">
        <v>33203.17</v>
      </c>
    </row>
    <row r="544" spans="1:9">
      <c r="A544" s="785">
        <v>43202</v>
      </c>
      <c r="B544" t="s">
        <v>4362</v>
      </c>
      <c r="C544" s="765">
        <v>20008.919999999998</v>
      </c>
      <c r="D544" s="765">
        <v>20008.919999999998</v>
      </c>
      <c r="E544" s="765">
        <v>125315.66</v>
      </c>
      <c r="I544" s="765">
        <v>20008.919999999998</v>
      </c>
    </row>
    <row r="545" spans="1:9">
      <c r="A545" t="s">
        <v>4296</v>
      </c>
      <c r="B545" t="s">
        <v>4363</v>
      </c>
      <c r="C545" s="765">
        <v>4881.3100000000004</v>
      </c>
      <c r="D545" s="765">
        <v>4881.3100000000004</v>
      </c>
      <c r="E545" s="765">
        <v>130196.97</v>
      </c>
      <c r="I545" s="765">
        <v>4881.3100000000004</v>
      </c>
    </row>
    <row r="546" spans="1:9">
      <c r="A546" s="785">
        <v>43771</v>
      </c>
      <c r="B546" t="s">
        <v>4364</v>
      </c>
      <c r="C546" s="765">
        <v>4896.25</v>
      </c>
      <c r="D546" s="765">
        <v>4896.25</v>
      </c>
      <c r="E546" s="765">
        <v>135093.22</v>
      </c>
      <c r="I546" s="765">
        <v>4896.25</v>
      </c>
    </row>
    <row r="547" spans="1:9">
      <c r="A547" s="785">
        <v>43619</v>
      </c>
      <c r="B547" t="s">
        <v>4365</v>
      </c>
      <c r="C547" s="765">
        <v>5794.96</v>
      </c>
      <c r="D547" s="765">
        <v>5794.96</v>
      </c>
      <c r="E547" s="765">
        <v>140888.18</v>
      </c>
      <c r="I547" s="765">
        <v>5794.96</v>
      </c>
    </row>
    <row r="548" spans="1:9">
      <c r="A548" s="785">
        <v>43681</v>
      </c>
      <c r="B548" t="s">
        <v>4366</v>
      </c>
      <c r="C548" s="765">
        <v>5723.06</v>
      </c>
      <c r="D548" s="765">
        <v>5723.06</v>
      </c>
      <c r="E548" s="765">
        <v>146611.24</v>
      </c>
      <c r="I548" s="765">
        <v>5723.06</v>
      </c>
    </row>
    <row r="549" spans="1:9">
      <c r="A549" s="785">
        <v>43619</v>
      </c>
      <c r="B549" t="s">
        <v>4356</v>
      </c>
      <c r="C549" s="765">
        <v>1659.61</v>
      </c>
      <c r="D549" s="765">
        <v>1659.61</v>
      </c>
      <c r="E549" s="765">
        <v>148270.85</v>
      </c>
      <c r="I549" s="765">
        <v>1659.61</v>
      </c>
    </row>
    <row r="550" spans="1:9">
      <c r="A550" t="s">
        <v>4367</v>
      </c>
      <c r="B550" t="s">
        <v>4368</v>
      </c>
      <c r="C550" s="765">
        <v>4680.5600000000004</v>
      </c>
      <c r="D550" s="765">
        <v>4680.5600000000004</v>
      </c>
      <c r="E550" s="765">
        <v>152951.41</v>
      </c>
      <c r="I550" s="765">
        <v>4680.5600000000004</v>
      </c>
    </row>
    <row r="551" spans="1:9">
      <c r="A551" s="785">
        <v>43564</v>
      </c>
      <c r="B551" t="s">
        <v>4369</v>
      </c>
      <c r="C551" s="765">
        <v>4932.1899999999996</v>
      </c>
      <c r="D551" s="765">
        <v>4932.1899999999996</v>
      </c>
      <c r="E551" s="765">
        <v>157883.6</v>
      </c>
      <c r="I551" s="765">
        <v>4932.1899999999996</v>
      </c>
    </row>
    <row r="552" spans="1:9">
      <c r="A552" s="785">
        <v>43477</v>
      </c>
      <c r="B552" t="s">
        <v>4370</v>
      </c>
      <c r="C552" s="765">
        <v>5147.8900000000003</v>
      </c>
      <c r="D552" s="765">
        <v>5147.8900000000003</v>
      </c>
      <c r="E552" s="765">
        <v>163031.49</v>
      </c>
      <c r="I552" s="765">
        <v>5147.8900000000003</v>
      </c>
    </row>
    <row r="553" spans="1:9">
      <c r="A553" s="785">
        <v>43983</v>
      </c>
      <c r="B553" t="s">
        <v>4371</v>
      </c>
      <c r="C553" s="765">
        <v>12601.43</v>
      </c>
      <c r="D553" s="765">
        <v>12601.43</v>
      </c>
      <c r="E553" s="765">
        <v>175632.92</v>
      </c>
      <c r="I553" s="765">
        <v>12601.43</v>
      </c>
    </row>
    <row r="554" spans="1:9">
      <c r="A554" s="785">
        <v>43923</v>
      </c>
      <c r="B554" t="s">
        <v>4372</v>
      </c>
      <c r="C554" s="765">
        <v>4254.9399999999996</v>
      </c>
      <c r="D554" s="765">
        <v>4254.9399999999996</v>
      </c>
      <c r="E554" s="765">
        <v>179887.86</v>
      </c>
      <c r="I554" s="765">
        <v>4254.9399999999996</v>
      </c>
    </row>
    <row r="555" spans="1:9">
      <c r="A555" s="785">
        <v>43893</v>
      </c>
      <c r="B555" t="s">
        <v>4373</v>
      </c>
      <c r="C555" s="765">
        <v>4405.92</v>
      </c>
      <c r="D555" s="765">
        <v>4405.92</v>
      </c>
      <c r="E555" s="765">
        <v>184293.78</v>
      </c>
      <c r="I555" s="765">
        <v>4405.92</v>
      </c>
    </row>
    <row r="556" spans="1:9">
      <c r="A556" t="s">
        <v>4374</v>
      </c>
      <c r="B556" t="s">
        <v>4375</v>
      </c>
      <c r="C556" s="765">
        <v>1599.32</v>
      </c>
      <c r="D556" s="765">
        <v>1599.32</v>
      </c>
      <c r="E556" s="765">
        <v>185893.1</v>
      </c>
      <c r="I556" s="765">
        <v>1599.32</v>
      </c>
    </row>
    <row r="557" spans="1:9">
      <c r="A557" s="785">
        <v>43868</v>
      </c>
      <c r="B557" t="s">
        <v>4376</v>
      </c>
      <c r="C557" s="765">
        <v>2006.97</v>
      </c>
      <c r="D557" s="765">
        <v>2006.97</v>
      </c>
      <c r="E557" s="765">
        <v>187900.07</v>
      </c>
      <c r="I557" s="765">
        <v>2006.97</v>
      </c>
    </row>
    <row r="558" spans="1:9">
      <c r="A558" t="s">
        <v>4377</v>
      </c>
      <c r="B558" t="s">
        <v>4378</v>
      </c>
      <c r="C558" s="765">
        <v>3283.94</v>
      </c>
      <c r="D558" s="765">
        <v>3283.94</v>
      </c>
      <c r="E558" s="765">
        <v>191184.01</v>
      </c>
      <c r="I558" s="765">
        <v>3283.94</v>
      </c>
    </row>
    <row r="559" spans="1:9">
      <c r="A559" t="s">
        <v>4377</v>
      </c>
      <c r="B559" t="s">
        <v>4379</v>
      </c>
      <c r="C559" s="765">
        <v>2168.16</v>
      </c>
      <c r="D559" s="765">
        <v>2168.16</v>
      </c>
      <c r="E559" s="765">
        <v>193352.17</v>
      </c>
      <c r="I559" s="765">
        <v>2168.16</v>
      </c>
    </row>
    <row r="560" spans="1:9">
      <c r="A560" s="785">
        <v>43898</v>
      </c>
      <c r="B560" t="s">
        <v>4380</v>
      </c>
      <c r="C560" s="765">
        <v>1692.17</v>
      </c>
      <c r="D560" s="765">
        <v>1692.17</v>
      </c>
      <c r="E560" s="765">
        <v>195044.34</v>
      </c>
      <c r="I560" s="765">
        <v>1692.17</v>
      </c>
    </row>
    <row r="561" spans="1:9">
      <c r="A561" s="785">
        <v>43870</v>
      </c>
      <c r="B561" t="s">
        <v>5233</v>
      </c>
      <c r="C561" s="765">
        <v>2541.84</v>
      </c>
      <c r="D561" s="765">
        <v>2541.84</v>
      </c>
      <c r="E561" s="765">
        <v>197586.18</v>
      </c>
      <c r="I561" s="765">
        <v>2541.84</v>
      </c>
    </row>
    <row r="562" spans="1:9">
      <c r="A562" s="785">
        <v>43871</v>
      </c>
      <c r="B562" t="s">
        <v>5280</v>
      </c>
      <c r="C562" s="765">
        <v>1769.17</v>
      </c>
      <c r="D562" s="765">
        <v>1769.17</v>
      </c>
      <c r="E562" s="765">
        <v>199355.35</v>
      </c>
      <c r="I562" s="765">
        <v>1769.17</v>
      </c>
    </row>
    <row r="563" spans="1:9">
      <c r="A563" s="785">
        <v>43932</v>
      </c>
      <c r="B563" t="s">
        <v>5326</v>
      </c>
      <c r="C563" s="765">
        <v>1429.07</v>
      </c>
      <c r="D563" s="765">
        <v>1429.07</v>
      </c>
      <c r="E563" s="765">
        <v>200784.42</v>
      </c>
      <c r="I563" s="765">
        <v>1429.07</v>
      </c>
    </row>
    <row r="564" spans="1:9">
      <c r="A564" s="785">
        <v>44288</v>
      </c>
      <c r="B564" t="s">
        <v>5877</v>
      </c>
      <c r="C564" s="765">
        <v>3985.57</v>
      </c>
      <c r="D564" s="765">
        <v>3985.57</v>
      </c>
      <c r="E564" s="765">
        <v>204769.99</v>
      </c>
      <c r="I564" s="765">
        <v>3985.57</v>
      </c>
    </row>
    <row r="565" spans="1:9">
      <c r="A565" s="785">
        <v>44230</v>
      </c>
      <c r="B565" t="s">
        <v>5933</v>
      </c>
      <c r="C565" s="765">
        <v>1648.51</v>
      </c>
      <c r="D565" s="765">
        <v>1648.51</v>
      </c>
      <c r="E565" s="765">
        <v>206418.5</v>
      </c>
      <c r="I565" s="765">
        <v>1648.51</v>
      </c>
    </row>
    <row r="566" spans="1:9">
      <c r="A566" s="785">
        <v>44351</v>
      </c>
      <c r="B566" t="s">
        <v>6151</v>
      </c>
      <c r="C566" s="765">
        <v>1504.62</v>
      </c>
      <c r="D566" s="765">
        <v>1504.62</v>
      </c>
      <c r="E566" s="765">
        <v>207923.12</v>
      </c>
      <c r="I566" s="765">
        <v>1504.62</v>
      </c>
    </row>
    <row r="567" spans="1:9">
      <c r="A567" s="785">
        <v>44351</v>
      </c>
      <c r="B567" t="s">
        <v>6152</v>
      </c>
      <c r="C567" s="765">
        <v>2858.69</v>
      </c>
      <c r="D567" s="765">
        <v>2858.69</v>
      </c>
      <c r="E567" s="765">
        <v>210781.81</v>
      </c>
      <c r="I567" s="765">
        <v>2858.69</v>
      </c>
    </row>
    <row r="568" spans="1:9">
      <c r="A568" s="785">
        <v>44291</v>
      </c>
      <c r="B568" t="s">
        <v>6215</v>
      </c>
      <c r="C568" s="765">
        <v>1860.1</v>
      </c>
      <c r="D568" s="765">
        <v>1860.1</v>
      </c>
      <c r="E568" s="765">
        <v>212641.91</v>
      </c>
      <c r="I568" s="765">
        <v>1860.1</v>
      </c>
    </row>
    <row r="569" spans="1:9">
      <c r="A569" s="785">
        <v>44291</v>
      </c>
      <c r="B569" t="s">
        <v>6216</v>
      </c>
      <c r="C569">
        <v>998.59</v>
      </c>
      <c r="D569">
        <v>998.59</v>
      </c>
      <c r="E569" s="765">
        <v>213640.5</v>
      </c>
      <c r="I569">
        <v>998.59</v>
      </c>
    </row>
    <row r="570" spans="1:9">
      <c r="A570" s="785">
        <v>44233</v>
      </c>
      <c r="B570" t="s">
        <v>6278</v>
      </c>
      <c r="C570" s="765">
        <v>2858.69</v>
      </c>
      <c r="D570" s="765">
        <v>2858.69</v>
      </c>
      <c r="E570" s="765">
        <v>216499.19</v>
      </c>
      <c r="I570" s="765">
        <v>2858.69</v>
      </c>
    </row>
    <row r="571" spans="1:9">
      <c r="A571" s="785">
        <v>44203</v>
      </c>
      <c r="B571" t="s">
        <v>6386</v>
      </c>
      <c r="C571">
        <v>11.1</v>
      </c>
      <c r="D571">
        <v>11.1</v>
      </c>
      <c r="E571" s="765">
        <v>216510.29</v>
      </c>
      <c r="I571">
        <v>11.1</v>
      </c>
    </row>
    <row r="572" spans="1:9">
      <c r="A572" s="785">
        <v>44203</v>
      </c>
      <c r="B572" t="s">
        <v>6387</v>
      </c>
      <c r="C572">
        <v>998.59</v>
      </c>
      <c r="D572">
        <v>998.59</v>
      </c>
      <c r="E572" s="765">
        <v>217508.88</v>
      </c>
      <c r="I572">
        <v>998.59</v>
      </c>
    </row>
    <row r="573" spans="1:9">
      <c r="A573" s="785">
        <v>44203</v>
      </c>
      <c r="B573" t="s">
        <v>6388</v>
      </c>
      <c r="C573" s="765">
        <v>1860.1</v>
      </c>
      <c r="D573" s="765">
        <v>1860.1</v>
      </c>
      <c r="E573" s="765">
        <v>219368.98</v>
      </c>
      <c r="I573" s="765">
        <v>1860.1</v>
      </c>
    </row>
    <row r="574" spans="1:9">
      <c r="A574" s="785">
        <v>44356</v>
      </c>
      <c r="B574" t="s">
        <v>6591</v>
      </c>
      <c r="C574" s="765">
        <v>2858.69</v>
      </c>
      <c r="D574" s="765">
        <v>2858.69</v>
      </c>
      <c r="E574" s="765">
        <v>222227.67</v>
      </c>
      <c r="I574" s="765">
        <v>2858.69</v>
      </c>
    </row>
    <row r="575" spans="1:9">
      <c r="A575" s="785">
        <v>44296</v>
      </c>
      <c r="B575" t="s">
        <v>6701</v>
      </c>
      <c r="C575" s="765">
        <v>2858.69</v>
      </c>
      <c r="D575" s="765">
        <v>2858.69</v>
      </c>
      <c r="E575" s="765">
        <v>225086.36</v>
      </c>
      <c r="I575" s="765">
        <v>2858.69</v>
      </c>
    </row>
    <row r="576" spans="1:9">
      <c r="A576" t="s">
        <v>6861</v>
      </c>
      <c r="B576" t="s">
        <v>6862</v>
      </c>
      <c r="C576">
        <v>998.59</v>
      </c>
      <c r="D576">
        <v>998.59</v>
      </c>
      <c r="E576" s="765">
        <v>226084.95</v>
      </c>
      <c r="H576">
        <v>998.59</v>
      </c>
    </row>
    <row r="577" spans="1:9">
      <c r="A577" t="s">
        <v>6861</v>
      </c>
      <c r="B577" t="s">
        <v>6863</v>
      </c>
      <c r="C577" s="765">
        <v>2858.69</v>
      </c>
      <c r="D577" s="765">
        <v>2858.69</v>
      </c>
      <c r="E577" s="765">
        <v>228943.64</v>
      </c>
      <c r="H577" s="765">
        <v>2858.69</v>
      </c>
    </row>
    <row r="578" spans="1:9">
      <c r="A578" t="s">
        <v>6861</v>
      </c>
      <c r="B578" t="s">
        <v>6864</v>
      </c>
      <c r="C578">
        <v>998.59</v>
      </c>
      <c r="D578">
        <v>998.59</v>
      </c>
      <c r="E578" s="765">
        <v>229942.23</v>
      </c>
      <c r="H578">
        <v>998.59</v>
      </c>
    </row>
    <row r="579" spans="1:9">
      <c r="A579" t="s">
        <v>6861</v>
      </c>
      <c r="B579" t="s">
        <v>6865</v>
      </c>
      <c r="C579" s="765">
        <v>2858.69</v>
      </c>
      <c r="D579" s="765">
        <v>2858.69</v>
      </c>
      <c r="E579" s="765">
        <v>232800.92</v>
      </c>
      <c r="H579" s="765">
        <v>2858.69</v>
      </c>
    </row>
    <row r="580" spans="1:9">
      <c r="A580" t="s">
        <v>6861</v>
      </c>
      <c r="B580" t="s">
        <v>6866</v>
      </c>
      <c r="C580" s="765">
        <v>2858.69</v>
      </c>
      <c r="D580" s="765">
        <v>2858.69</v>
      </c>
      <c r="E580" s="765">
        <v>235659.61</v>
      </c>
      <c r="H580" s="765">
        <v>2858.69</v>
      </c>
    </row>
    <row r="581" spans="1:9">
      <c r="A581" s="785">
        <v>44239</v>
      </c>
      <c r="B581" t="s">
        <v>7143</v>
      </c>
      <c r="C581">
        <v>998.59</v>
      </c>
      <c r="D581">
        <v>998.59</v>
      </c>
      <c r="E581" s="765">
        <v>236658.2</v>
      </c>
      <c r="H581">
        <v>998.59</v>
      </c>
    </row>
    <row r="582" spans="1:9">
      <c r="A582" s="785">
        <v>44239</v>
      </c>
      <c r="B582" t="s">
        <v>7144</v>
      </c>
      <c r="C582" s="765">
        <v>1860.1</v>
      </c>
      <c r="D582" s="765">
        <v>1860.1</v>
      </c>
      <c r="E582" s="765">
        <v>238518.3</v>
      </c>
      <c r="H582" s="765">
        <v>1860.1</v>
      </c>
    </row>
    <row r="584" spans="1:9">
      <c r="A584" t="s">
        <v>4138</v>
      </c>
      <c r="B584" s="765">
        <v>238518.3</v>
      </c>
      <c r="C584" s="765">
        <v>238518.3</v>
      </c>
      <c r="D584">
        <v>0</v>
      </c>
      <c r="E584">
        <v>0</v>
      </c>
      <c r="F584" s="765">
        <v>13431.94</v>
      </c>
      <c r="G584" s="765">
        <v>225086.36</v>
      </c>
    </row>
    <row r="586" spans="1:9">
      <c r="A586">
        <v>11605</v>
      </c>
      <c r="B586" t="s">
        <v>6217</v>
      </c>
    </row>
    <row r="587" spans="1:9">
      <c r="A587" s="785">
        <v>43619</v>
      </c>
      <c r="B587" t="s">
        <v>4381</v>
      </c>
      <c r="C587">
        <v>939.54</v>
      </c>
      <c r="D587">
        <v>939.54</v>
      </c>
      <c r="E587">
        <v>939.54</v>
      </c>
      <c r="I587">
        <v>939.54</v>
      </c>
    </row>
    <row r="588" spans="1:9">
      <c r="A588" t="s">
        <v>4271</v>
      </c>
      <c r="B588" t="s">
        <v>4382</v>
      </c>
      <c r="C588" s="765">
        <v>2138.33</v>
      </c>
      <c r="D588" s="765">
        <v>2138.33</v>
      </c>
      <c r="E588" s="765">
        <v>3077.87</v>
      </c>
      <c r="I588" s="765">
        <v>2138.33</v>
      </c>
    </row>
    <row r="589" spans="1:9">
      <c r="A589" s="785">
        <v>43897</v>
      </c>
      <c r="B589" t="s">
        <v>4383</v>
      </c>
      <c r="C589">
        <v>267.25</v>
      </c>
      <c r="D589">
        <v>267.25</v>
      </c>
      <c r="E589" s="765">
        <v>3345.12</v>
      </c>
      <c r="I589">
        <v>267.25</v>
      </c>
    </row>
    <row r="590" spans="1:9">
      <c r="A590" s="785">
        <v>43897</v>
      </c>
      <c r="B590" t="s">
        <v>4384</v>
      </c>
      <c r="C590">
        <v>155.07</v>
      </c>
      <c r="D590">
        <v>155.07</v>
      </c>
      <c r="E590" s="765">
        <v>3500.19</v>
      </c>
      <c r="I590">
        <v>155.07</v>
      </c>
    </row>
    <row r="591" spans="1:9">
      <c r="A591" s="785">
        <v>44208</v>
      </c>
      <c r="B591" t="s">
        <v>7145</v>
      </c>
      <c r="C591" s="765">
        <v>1908.93</v>
      </c>
      <c r="D591" s="765">
        <v>1908.93</v>
      </c>
      <c r="E591" s="765">
        <v>5409.12</v>
      </c>
      <c r="H591" s="765">
        <v>1908.93</v>
      </c>
    </row>
    <row r="592" spans="1:9">
      <c r="A592" s="785">
        <v>44208</v>
      </c>
      <c r="B592" t="s">
        <v>7146</v>
      </c>
      <c r="C592">
        <v>286.17</v>
      </c>
      <c r="D592">
        <v>286.17</v>
      </c>
      <c r="E592" s="765">
        <v>5695.29</v>
      </c>
      <c r="H592">
        <v>286.17</v>
      </c>
    </row>
    <row r="593" spans="1:9">
      <c r="A593" s="785">
        <v>44208</v>
      </c>
      <c r="B593" t="s">
        <v>7147</v>
      </c>
      <c r="C593">
        <v>153.63</v>
      </c>
      <c r="D593">
        <v>153.63</v>
      </c>
      <c r="E593" s="765">
        <v>5848.92</v>
      </c>
      <c r="H593">
        <v>153.63</v>
      </c>
    </row>
    <row r="595" spans="1:9">
      <c r="A595" t="s">
        <v>4138</v>
      </c>
      <c r="B595" s="765">
        <v>5848.92</v>
      </c>
      <c r="C595" s="765">
        <v>5848.92</v>
      </c>
      <c r="D595">
        <v>0</v>
      </c>
      <c r="E595">
        <v>0</v>
      </c>
      <c r="F595" s="765">
        <v>2348.73</v>
      </c>
      <c r="G595" s="765">
        <v>3500.19</v>
      </c>
    </row>
    <row r="597" spans="1:9">
      <c r="A597">
        <v>11621</v>
      </c>
      <c r="B597" t="s">
        <v>5878</v>
      </c>
    </row>
    <row r="598" spans="1:9">
      <c r="A598" s="785">
        <v>44288</v>
      </c>
      <c r="B598" t="s">
        <v>5879</v>
      </c>
      <c r="C598">
        <v>446.25</v>
      </c>
      <c r="D598">
        <v>446.25</v>
      </c>
      <c r="E598">
        <v>446.25</v>
      </c>
      <c r="I598">
        <v>446.25</v>
      </c>
    </row>
    <row r="599" spans="1:9">
      <c r="A599" s="785">
        <v>44296</v>
      </c>
      <c r="B599" t="s">
        <v>6702</v>
      </c>
      <c r="C599">
        <v>381.63</v>
      </c>
      <c r="D599">
        <v>381.63</v>
      </c>
      <c r="E599">
        <v>827.88</v>
      </c>
      <c r="I599">
        <v>381.63</v>
      </c>
    </row>
    <row r="601" spans="1:9">
      <c r="A601" t="s">
        <v>4138</v>
      </c>
      <c r="B601">
        <v>827.88</v>
      </c>
      <c r="C601">
        <v>827.88</v>
      </c>
      <c r="D601">
        <v>0</v>
      </c>
      <c r="E601">
        <v>0</v>
      </c>
      <c r="F601">
        <v>0</v>
      </c>
      <c r="G601">
        <v>827.88</v>
      </c>
    </row>
    <row r="603" spans="1:9">
      <c r="A603">
        <v>11626</v>
      </c>
      <c r="B603" t="s">
        <v>4385</v>
      </c>
    </row>
    <row r="604" spans="1:9">
      <c r="A604" t="s">
        <v>4386</v>
      </c>
      <c r="B604" t="s">
        <v>4387</v>
      </c>
      <c r="C604" s="765">
        <v>2539.5500000000002</v>
      </c>
      <c r="D604" s="765">
        <v>2539.5500000000002</v>
      </c>
      <c r="E604" s="765">
        <v>2539.5500000000002</v>
      </c>
      <c r="I604" s="765">
        <v>2539.5500000000002</v>
      </c>
    </row>
    <row r="605" spans="1:9">
      <c r="A605" s="785">
        <v>44239</v>
      </c>
      <c r="B605" t="s">
        <v>7148</v>
      </c>
      <c r="C605" s="765">
        <v>3263.14</v>
      </c>
      <c r="D605" s="765">
        <v>3263.14</v>
      </c>
      <c r="E605" s="765">
        <v>5802.69</v>
      </c>
      <c r="H605" s="765">
        <v>3263.14</v>
      </c>
    </row>
    <row r="607" spans="1:9">
      <c r="A607" t="s">
        <v>4138</v>
      </c>
      <c r="B607" s="765">
        <v>5802.69</v>
      </c>
      <c r="C607" s="765">
        <v>5802.69</v>
      </c>
      <c r="D607">
        <v>0</v>
      </c>
      <c r="E607">
        <v>0</v>
      </c>
      <c r="F607" s="765">
        <v>3263.14</v>
      </c>
      <c r="G607" s="765">
        <v>2539.5500000000002</v>
      </c>
    </row>
    <row r="609" spans="1:9">
      <c r="A609">
        <v>11653</v>
      </c>
      <c r="B609" t="s">
        <v>6703</v>
      </c>
    </row>
    <row r="610" spans="1:9">
      <c r="A610" s="785">
        <v>44357</v>
      </c>
      <c r="B610" t="s">
        <v>6704</v>
      </c>
      <c r="C610" s="765">
        <v>4976.08</v>
      </c>
      <c r="D610" s="765">
        <v>4976.08</v>
      </c>
      <c r="E610" s="765">
        <v>4976.08</v>
      </c>
      <c r="I610" s="765">
        <v>4976.08</v>
      </c>
    </row>
    <row r="612" spans="1:9">
      <c r="A612" t="s">
        <v>4138</v>
      </c>
      <c r="B612" s="765">
        <v>4976.08</v>
      </c>
      <c r="C612" s="765">
        <v>4976.08</v>
      </c>
      <c r="D612">
        <v>0</v>
      </c>
      <c r="E612">
        <v>0</v>
      </c>
      <c r="F612">
        <v>0</v>
      </c>
      <c r="G612" s="765">
        <v>4976.08</v>
      </c>
    </row>
    <row r="614" spans="1:9">
      <c r="A614">
        <v>11669</v>
      </c>
      <c r="B614" t="s">
        <v>1833</v>
      </c>
    </row>
    <row r="615" spans="1:9">
      <c r="A615" s="785">
        <v>43232</v>
      </c>
      <c r="B615" t="s">
        <v>4388</v>
      </c>
      <c r="C615" s="765">
        <v>1840.82</v>
      </c>
      <c r="D615" s="765">
        <v>1840.82</v>
      </c>
      <c r="E615" s="765">
        <v>1840.82</v>
      </c>
      <c r="I615" s="765">
        <v>1840.82</v>
      </c>
    </row>
    <row r="616" spans="1:9">
      <c r="A616" s="785">
        <v>43411</v>
      </c>
      <c r="B616" t="s">
        <v>4389</v>
      </c>
      <c r="C616" s="765">
        <v>1950.52</v>
      </c>
      <c r="D616" s="765">
        <v>1950.52</v>
      </c>
      <c r="E616" s="765">
        <v>3791.34</v>
      </c>
      <c r="I616" s="765">
        <v>1950.52</v>
      </c>
    </row>
    <row r="617" spans="1:9">
      <c r="A617" t="s">
        <v>4334</v>
      </c>
      <c r="B617" t="s">
        <v>4391</v>
      </c>
      <c r="C617" s="765">
        <v>7987.99</v>
      </c>
      <c r="D617" s="765">
        <v>7987.99</v>
      </c>
      <c r="E617" s="765">
        <v>11779.33</v>
      </c>
      <c r="I617" s="765">
        <v>7987.99</v>
      </c>
    </row>
    <row r="618" spans="1:9">
      <c r="A618" s="785">
        <v>43230</v>
      </c>
      <c r="B618" t="s">
        <v>4390</v>
      </c>
      <c r="C618" s="765">
        <v>1848.76</v>
      </c>
      <c r="D618" s="765">
        <v>1848.76</v>
      </c>
      <c r="E618" s="765">
        <v>13628.09</v>
      </c>
      <c r="I618" s="765">
        <v>1848.76</v>
      </c>
    </row>
    <row r="619" spans="1:9">
      <c r="A619" s="785">
        <v>43353</v>
      </c>
      <c r="B619" t="s">
        <v>4392</v>
      </c>
      <c r="C619" s="765">
        <v>1441.74</v>
      </c>
      <c r="D619" s="765">
        <v>1441.74</v>
      </c>
      <c r="E619" s="765">
        <v>15069.83</v>
      </c>
      <c r="I619" s="765">
        <v>1441.74</v>
      </c>
    </row>
    <row r="620" spans="1:9">
      <c r="A620" s="785">
        <v>43292</v>
      </c>
      <c r="B620" t="s">
        <v>4393</v>
      </c>
      <c r="C620" s="765">
        <v>1407.82</v>
      </c>
      <c r="D620" s="765">
        <v>1407.82</v>
      </c>
      <c r="E620" s="765">
        <v>16477.650000000001</v>
      </c>
      <c r="I620" s="765">
        <v>1407.82</v>
      </c>
    </row>
    <row r="621" spans="1:9">
      <c r="A621" s="785">
        <v>43232</v>
      </c>
      <c r="B621" t="s">
        <v>4394</v>
      </c>
      <c r="C621" s="765">
        <v>1373.91</v>
      </c>
      <c r="D621" s="765">
        <v>1373.91</v>
      </c>
      <c r="E621" s="765">
        <v>17851.560000000001</v>
      </c>
      <c r="I621" s="765">
        <v>1373.91</v>
      </c>
    </row>
    <row r="622" spans="1:9">
      <c r="A622" s="785">
        <v>43739</v>
      </c>
      <c r="B622" t="s">
        <v>4395</v>
      </c>
      <c r="C622" s="765">
        <v>1407.82</v>
      </c>
      <c r="D622" s="765">
        <v>1407.82</v>
      </c>
      <c r="E622" s="765">
        <v>19259.38</v>
      </c>
      <c r="I622" s="765">
        <v>1407.82</v>
      </c>
    </row>
    <row r="623" spans="1:9">
      <c r="A623" s="785">
        <v>43648</v>
      </c>
      <c r="B623" t="s">
        <v>4396</v>
      </c>
      <c r="C623" s="765">
        <v>1505.18</v>
      </c>
      <c r="D623" s="765">
        <v>1505.18</v>
      </c>
      <c r="E623" s="765">
        <v>20764.560000000001</v>
      </c>
      <c r="I623" s="765">
        <v>1505.18</v>
      </c>
    </row>
    <row r="624" spans="1:9">
      <c r="A624" t="s">
        <v>4397</v>
      </c>
      <c r="B624" t="s">
        <v>4398</v>
      </c>
      <c r="C624" s="765">
        <v>1397.33</v>
      </c>
      <c r="D624" s="765">
        <v>1397.33</v>
      </c>
      <c r="E624" s="765">
        <v>22161.89</v>
      </c>
      <c r="I624" s="765">
        <v>1397.33</v>
      </c>
    </row>
    <row r="625" spans="1:9">
      <c r="A625" t="s">
        <v>4397</v>
      </c>
      <c r="B625" t="s">
        <v>4399</v>
      </c>
      <c r="C625" s="765">
        <v>1397.33</v>
      </c>
      <c r="D625" s="765">
        <v>1397.33</v>
      </c>
      <c r="E625" s="765">
        <v>23559.22</v>
      </c>
      <c r="I625" s="765">
        <v>1397.33</v>
      </c>
    </row>
    <row r="626" spans="1:9">
      <c r="A626" s="785">
        <v>43624</v>
      </c>
      <c r="B626" t="s">
        <v>4400</v>
      </c>
      <c r="C626" s="765">
        <v>1397.33</v>
      </c>
      <c r="D626" s="765">
        <v>1397.33</v>
      </c>
      <c r="E626" s="765">
        <v>24956.55</v>
      </c>
      <c r="I626" s="765">
        <v>1397.33</v>
      </c>
    </row>
    <row r="628" spans="1:9">
      <c r="A628" t="s">
        <v>4138</v>
      </c>
      <c r="B628" s="765">
        <v>24956.55</v>
      </c>
      <c r="C628" s="765">
        <v>24956.55</v>
      </c>
      <c r="D628">
        <v>0</v>
      </c>
      <c r="E628">
        <v>0</v>
      </c>
      <c r="F628">
        <v>0</v>
      </c>
      <c r="G628" s="765">
        <v>24956.55</v>
      </c>
    </row>
    <row r="630" spans="1:9">
      <c r="A630">
        <v>11679</v>
      </c>
      <c r="B630" t="s">
        <v>6705</v>
      </c>
    </row>
    <row r="631" spans="1:9">
      <c r="A631" s="785">
        <v>44206</v>
      </c>
      <c r="B631" t="s">
        <v>6706</v>
      </c>
      <c r="C631" s="765">
        <v>66659.87</v>
      </c>
      <c r="D631" s="765">
        <v>66659.87</v>
      </c>
      <c r="E631" s="765">
        <v>66659.87</v>
      </c>
      <c r="I631" s="765">
        <v>66659.87</v>
      </c>
    </row>
    <row r="632" spans="1:9">
      <c r="A632" t="s">
        <v>7149</v>
      </c>
      <c r="B632" t="s">
        <v>7150</v>
      </c>
      <c r="C632" s="765">
        <v>62648.59</v>
      </c>
      <c r="D632" s="765">
        <v>62648.59</v>
      </c>
      <c r="E632" s="765">
        <v>129308.46</v>
      </c>
      <c r="G632" s="765">
        <v>62648.59</v>
      </c>
    </row>
    <row r="634" spans="1:9">
      <c r="A634" t="s">
        <v>4138</v>
      </c>
      <c r="B634" s="765">
        <v>129308.46</v>
      </c>
      <c r="C634" s="765">
        <v>129308.46</v>
      </c>
      <c r="D634">
        <v>0</v>
      </c>
      <c r="E634" s="765">
        <v>62648.59</v>
      </c>
      <c r="F634">
        <v>0</v>
      </c>
      <c r="G634" s="765">
        <v>66659.87</v>
      </c>
    </row>
    <row r="636" spans="1:9">
      <c r="A636">
        <v>11689</v>
      </c>
      <c r="B636" t="s">
        <v>3395</v>
      </c>
    </row>
    <row r="637" spans="1:9">
      <c r="A637" s="785">
        <v>43739</v>
      </c>
      <c r="B637" t="s">
        <v>4401</v>
      </c>
      <c r="C637" s="765">
        <v>16729.52</v>
      </c>
      <c r="D637" s="765">
        <v>16729.52</v>
      </c>
      <c r="E637" s="765">
        <v>16729.52</v>
      </c>
      <c r="I637" s="765">
        <v>16729.52</v>
      </c>
    </row>
    <row r="639" spans="1:9">
      <c r="A639" t="s">
        <v>4138</v>
      </c>
      <c r="B639" s="765">
        <v>16729.52</v>
      </c>
      <c r="C639" s="765">
        <v>16729.52</v>
      </c>
      <c r="D639">
        <v>0</v>
      </c>
      <c r="E639">
        <v>0</v>
      </c>
      <c r="F639">
        <v>0</v>
      </c>
      <c r="G639" s="765">
        <v>16729.52</v>
      </c>
    </row>
    <row r="641" spans="1:9">
      <c r="A641">
        <v>11691</v>
      </c>
      <c r="B641" t="s">
        <v>1838</v>
      </c>
    </row>
    <row r="642" spans="1:9">
      <c r="A642" s="785">
        <v>44239</v>
      </c>
      <c r="B642" t="s">
        <v>7151</v>
      </c>
      <c r="C642" s="765">
        <v>1748.79</v>
      </c>
      <c r="D642" s="765">
        <v>1748.79</v>
      </c>
      <c r="E642" s="765">
        <v>1748.79</v>
      </c>
      <c r="H642" s="765">
        <v>1748.79</v>
      </c>
    </row>
    <row r="643" spans="1:9">
      <c r="A643" s="785">
        <v>44239</v>
      </c>
      <c r="B643" t="s">
        <v>7152</v>
      </c>
      <c r="C643" s="765">
        <v>1044.5</v>
      </c>
      <c r="D643" s="765">
        <v>1044.5</v>
      </c>
      <c r="E643" s="765">
        <v>2793.29</v>
      </c>
      <c r="H643" s="765">
        <v>1044.5</v>
      </c>
    </row>
    <row r="645" spans="1:9">
      <c r="A645" t="s">
        <v>4138</v>
      </c>
      <c r="B645" s="765">
        <v>2793.29</v>
      </c>
      <c r="C645" s="765">
        <v>2793.29</v>
      </c>
      <c r="D645">
        <v>0</v>
      </c>
      <c r="E645">
        <v>0</v>
      </c>
      <c r="F645" s="765">
        <v>2793.29</v>
      </c>
      <c r="G645">
        <v>0</v>
      </c>
    </row>
    <row r="647" spans="1:9">
      <c r="A647">
        <v>11699</v>
      </c>
      <c r="B647" t="s">
        <v>3396</v>
      </c>
    </row>
    <row r="648" spans="1:9">
      <c r="A648" s="785">
        <v>43770</v>
      </c>
      <c r="B648" t="s">
        <v>4402</v>
      </c>
      <c r="C648">
        <v>251.34</v>
      </c>
      <c r="D648">
        <v>251.34</v>
      </c>
      <c r="E648">
        <v>251.34</v>
      </c>
      <c r="I648">
        <v>251.34</v>
      </c>
    </row>
    <row r="649" spans="1:9">
      <c r="A649" s="785">
        <v>43648</v>
      </c>
      <c r="B649" t="s">
        <v>4403</v>
      </c>
      <c r="C649">
        <v>181.67</v>
      </c>
      <c r="D649">
        <v>181.67</v>
      </c>
      <c r="E649">
        <v>433.01</v>
      </c>
      <c r="I649">
        <v>181.67</v>
      </c>
    </row>
    <row r="650" spans="1:9">
      <c r="A650" s="785">
        <v>44013</v>
      </c>
      <c r="B650" t="s">
        <v>4404</v>
      </c>
      <c r="C650">
        <v>134.94999999999999</v>
      </c>
      <c r="D650">
        <v>134.94999999999999</v>
      </c>
      <c r="E650">
        <v>567.96</v>
      </c>
      <c r="I650">
        <v>134.94999999999999</v>
      </c>
    </row>
    <row r="651" spans="1:9">
      <c r="A651" s="785">
        <v>44105</v>
      </c>
      <c r="B651" t="s">
        <v>4405</v>
      </c>
      <c r="C651">
        <v>111.57</v>
      </c>
      <c r="D651">
        <v>111.57</v>
      </c>
      <c r="E651">
        <v>679.53</v>
      </c>
      <c r="I651">
        <v>111.57</v>
      </c>
    </row>
    <row r="652" spans="1:9">
      <c r="A652" s="785">
        <v>44264</v>
      </c>
      <c r="B652" t="s">
        <v>6592</v>
      </c>
      <c r="C652">
        <v>400.21</v>
      </c>
      <c r="D652">
        <v>400.21</v>
      </c>
      <c r="E652" s="765">
        <v>1079.74</v>
      </c>
      <c r="I652">
        <v>400.21</v>
      </c>
    </row>
    <row r="654" spans="1:9">
      <c r="A654" t="s">
        <v>4138</v>
      </c>
      <c r="B654" s="765">
        <v>1079.74</v>
      </c>
      <c r="C654" s="765">
        <v>1079.74</v>
      </c>
      <c r="D654">
        <v>0</v>
      </c>
      <c r="E654">
        <v>0</v>
      </c>
      <c r="F654">
        <v>0</v>
      </c>
      <c r="G654" s="765">
        <v>1079.74</v>
      </c>
    </row>
    <row r="656" spans="1:9">
      <c r="A656">
        <v>11702</v>
      </c>
      <c r="B656" t="s">
        <v>3397</v>
      </c>
    </row>
    <row r="657" spans="1:9">
      <c r="A657" s="785">
        <v>43353</v>
      </c>
      <c r="B657" t="s">
        <v>4406</v>
      </c>
      <c r="C657" s="765">
        <v>1263.3599999999999</v>
      </c>
      <c r="D657" s="765">
        <v>1263.3599999999999</v>
      </c>
      <c r="E657" s="765">
        <v>1263.3599999999999</v>
      </c>
      <c r="I657" s="765">
        <v>1263.3599999999999</v>
      </c>
    </row>
    <row r="659" spans="1:9">
      <c r="A659" t="s">
        <v>4138</v>
      </c>
      <c r="B659" s="765">
        <v>1263.3599999999999</v>
      </c>
      <c r="C659" s="765">
        <v>1263.3599999999999</v>
      </c>
      <c r="D659">
        <v>0</v>
      </c>
      <c r="E659">
        <v>0</v>
      </c>
      <c r="F659">
        <v>0</v>
      </c>
      <c r="G659" s="765">
        <v>1263.3599999999999</v>
      </c>
    </row>
    <row r="661" spans="1:9">
      <c r="A661">
        <v>11712</v>
      </c>
      <c r="B661" t="s">
        <v>3398</v>
      </c>
    </row>
    <row r="662" spans="1:9">
      <c r="A662" s="785">
        <v>43196</v>
      </c>
      <c r="B662" t="s">
        <v>4407</v>
      </c>
      <c r="C662" s="765">
        <v>4232.4799999999996</v>
      </c>
      <c r="D662" s="765">
        <v>4232.4799999999996</v>
      </c>
      <c r="E662" s="765">
        <v>4232.4799999999996</v>
      </c>
      <c r="I662" s="765">
        <v>4232.4799999999996</v>
      </c>
    </row>
    <row r="663" spans="1:9">
      <c r="A663" s="785">
        <v>43196</v>
      </c>
      <c r="B663" t="s">
        <v>4408</v>
      </c>
      <c r="C663" s="765">
        <v>2666.57</v>
      </c>
      <c r="D663" s="765">
        <v>2666.57</v>
      </c>
      <c r="E663" s="765">
        <v>6899.05</v>
      </c>
      <c r="I663" s="765">
        <v>2666.57</v>
      </c>
    </row>
    <row r="665" spans="1:9">
      <c r="A665" t="s">
        <v>4138</v>
      </c>
      <c r="B665" s="765">
        <v>6899.05</v>
      </c>
      <c r="C665" s="765">
        <v>6899.05</v>
      </c>
      <c r="D665">
        <v>0</v>
      </c>
      <c r="E665">
        <v>0</v>
      </c>
      <c r="F665">
        <v>0</v>
      </c>
      <c r="G665" s="765">
        <v>6899.05</v>
      </c>
    </row>
    <row r="667" spans="1:9">
      <c r="A667">
        <v>11728</v>
      </c>
      <c r="B667" t="s">
        <v>6707</v>
      </c>
    </row>
    <row r="668" spans="1:9">
      <c r="A668" s="785">
        <v>44238</v>
      </c>
      <c r="B668" t="s">
        <v>6867</v>
      </c>
      <c r="C668" s="765">
        <v>5827.32</v>
      </c>
      <c r="D668" s="765">
        <v>5827.32</v>
      </c>
      <c r="E668" s="765">
        <v>5827.32</v>
      </c>
      <c r="I668" s="765">
        <v>5827.32</v>
      </c>
    </row>
    <row r="669" spans="1:9">
      <c r="A669" s="785">
        <v>44238</v>
      </c>
      <c r="B669" t="s">
        <v>6868</v>
      </c>
      <c r="C669" s="765">
        <v>5662.39</v>
      </c>
      <c r="D669" s="765">
        <v>5662.39</v>
      </c>
      <c r="E669" s="765">
        <v>11489.71</v>
      </c>
      <c r="I669" s="765">
        <v>5662.39</v>
      </c>
    </row>
    <row r="671" spans="1:9">
      <c r="A671" t="s">
        <v>4138</v>
      </c>
      <c r="B671" s="765">
        <v>11489.71</v>
      </c>
      <c r="C671" s="765">
        <v>11489.71</v>
      </c>
      <c r="D671">
        <v>0</v>
      </c>
      <c r="E671">
        <v>0</v>
      </c>
      <c r="F671">
        <v>0</v>
      </c>
      <c r="G671" s="765">
        <v>11489.71</v>
      </c>
    </row>
    <row r="673" spans="1:9">
      <c r="A673">
        <v>11736</v>
      </c>
      <c r="B673" t="s">
        <v>1026</v>
      </c>
    </row>
    <row r="674" spans="1:9">
      <c r="A674" s="785">
        <v>44260</v>
      </c>
      <c r="B674" t="s">
        <v>6218</v>
      </c>
      <c r="C674">
        <v>459.41</v>
      </c>
      <c r="D674">
        <v>459.41</v>
      </c>
      <c r="E674">
        <v>459.41</v>
      </c>
      <c r="I674">
        <v>459.41</v>
      </c>
    </row>
    <row r="675" spans="1:9">
      <c r="A675" s="785">
        <v>44296</v>
      </c>
      <c r="B675" t="s">
        <v>6708</v>
      </c>
      <c r="C675">
        <v>493.49</v>
      </c>
      <c r="D675">
        <v>493.49</v>
      </c>
      <c r="E675">
        <v>952.9</v>
      </c>
      <c r="I675">
        <v>493.49</v>
      </c>
    </row>
    <row r="676" spans="1:9">
      <c r="A676" s="785">
        <v>44238</v>
      </c>
      <c r="B676" t="s">
        <v>6869</v>
      </c>
      <c r="C676">
        <v>420.17</v>
      </c>
      <c r="D676">
        <v>420.17</v>
      </c>
      <c r="E676" s="765">
        <v>1373.07</v>
      </c>
      <c r="I676">
        <v>420.17</v>
      </c>
    </row>
    <row r="677" spans="1:9">
      <c r="A677" s="785">
        <v>44239</v>
      </c>
      <c r="B677" t="s">
        <v>7153</v>
      </c>
      <c r="C677">
        <v>470.11</v>
      </c>
      <c r="D677">
        <v>470.11</v>
      </c>
      <c r="E677" s="765">
        <v>1843.18</v>
      </c>
      <c r="H677">
        <v>470.11</v>
      </c>
    </row>
    <row r="679" spans="1:9">
      <c r="A679" t="s">
        <v>4138</v>
      </c>
      <c r="B679" s="765">
        <v>1843.18</v>
      </c>
      <c r="C679" s="765">
        <v>1843.18</v>
      </c>
      <c r="D679">
        <v>0</v>
      </c>
      <c r="E679">
        <v>0</v>
      </c>
      <c r="F679">
        <v>470.11</v>
      </c>
      <c r="G679" s="765">
        <v>1373.07</v>
      </c>
    </row>
    <row r="681" spans="1:9">
      <c r="A681">
        <v>11737</v>
      </c>
      <c r="B681" t="s">
        <v>1026</v>
      </c>
    </row>
    <row r="682" spans="1:9">
      <c r="A682" s="785">
        <v>44260</v>
      </c>
      <c r="B682" t="s">
        <v>6219</v>
      </c>
      <c r="C682" s="765">
        <v>1778.94</v>
      </c>
      <c r="D682" s="765">
        <v>1778.94</v>
      </c>
      <c r="E682" s="765">
        <v>1778.94</v>
      </c>
      <c r="I682" s="765">
        <v>1778.94</v>
      </c>
    </row>
    <row r="683" spans="1:9">
      <c r="A683" s="785">
        <v>44296</v>
      </c>
      <c r="B683" t="s">
        <v>6709</v>
      </c>
      <c r="C683" s="765">
        <v>2298.19</v>
      </c>
      <c r="D683" s="765">
        <v>2298.19</v>
      </c>
      <c r="E683" s="765">
        <v>4077.13</v>
      </c>
      <c r="I683" s="765">
        <v>2298.19</v>
      </c>
    </row>
    <row r="684" spans="1:9">
      <c r="A684" s="785">
        <v>44238</v>
      </c>
      <c r="B684" t="s">
        <v>6870</v>
      </c>
      <c r="C684" s="765">
        <v>2750.85</v>
      </c>
      <c r="D684" s="765">
        <v>2750.85</v>
      </c>
      <c r="E684" s="765">
        <v>6827.98</v>
      </c>
      <c r="I684" s="765">
        <v>2750.85</v>
      </c>
    </row>
    <row r="685" spans="1:9">
      <c r="A685" s="785">
        <v>44239</v>
      </c>
      <c r="B685" t="s">
        <v>7154</v>
      </c>
      <c r="C685" s="765">
        <v>2844.39</v>
      </c>
      <c r="D685" s="765">
        <v>2844.39</v>
      </c>
      <c r="E685" s="765">
        <v>9672.3700000000008</v>
      </c>
      <c r="H685" s="765">
        <v>2844.39</v>
      </c>
    </row>
    <row r="687" spans="1:9">
      <c r="A687" t="s">
        <v>4138</v>
      </c>
      <c r="B687" s="765">
        <v>9672.3700000000008</v>
      </c>
      <c r="C687" s="765">
        <v>9672.3700000000008</v>
      </c>
      <c r="D687">
        <v>0</v>
      </c>
      <c r="E687">
        <v>0</v>
      </c>
      <c r="F687" s="765">
        <v>2844.39</v>
      </c>
      <c r="G687" s="765">
        <v>6827.98</v>
      </c>
    </row>
    <row r="689" spans="1:9">
      <c r="A689">
        <v>11749</v>
      </c>
      <c r="B689" t="s">
        <v>3399</v>
      </c>
    </row>
    <row r="690" spans="1:9">
      <c r="A690" s="785">
        <v>43259</v>
      </c>
      <c r="B690" t="s">
        <v>4409</v>
      </c>
      <c r="C690">
        <v>434.51</v>
      </c>
      <c r="D690">
        <v>434.51</v>
      </c>
      <c r="E690">
        <v>434.51</v>
      </c>
      <c r="I690">
        <v>434.51</v>
      </c>
    </row>
    <row r="691" spans="1:9">
      <c r="A691" s="785">
        <v>43262</v>
      </c>
      <c r="B691" t="s">
        <v>4410</v>
      </c>
      <c r="C691">
        <v>960.75</v>
      </c>
      <c r="D691">
        <v>960.75</v>
      </c>
      <c r="E691" s="765">
        <v>1395.26</v>
      </c>
      <c r="I691">
        <v>960.75</v>
      </c>
    </row>
    <row r="692" spans="1:9">
      <c r="A692" s="785">
        <v>43202</v>
      </c>
      <c r="B692" t="s">
        <v>4411</v>
      </c>
      <c r="C692">
        <v>434.51</v>
      </c>
      <c r="D692">
        <v>434.51</v>
      </c>
      <c r="E692" s="765">
        <v>1829.77</v>
      </c>
      <c r="I692">
        <v>434.51</v>
      </c>
    </row>
    <row r="693" spans="1:9">
      <c r="A693" s="785">
        <v>43202</v>
      </c>
      <c r="B693" t="s">
        <v>4412</v>
      </c>
      <c r="C693">
        <v>960.75</v>
      </c>
      <c r="D693">
        <v>960.75</v>
      </c>
      <c r="E693" s="765">
        <v>2790.52</v>
      </c>
      <c r="I693">
        <v>960.75</v>
      </c>
    </row>
    <row r="694" spans="1:9">
      <c r="A694" s="785">
        <v>43202</v>
      </c>
      <c r="B694" t="s">
        <v>4413</v>
      </c>
      <c r="C694">
        <v>16.96</v>
      </c>
      <c r="D694">
        <v>16.96</v>
      </c>
      <c r="E694" s="765">
        <v>2807.48</v>
      </c>
      <c r="I694">
        <v>16.96</v>
      </c>
    </row>
    <row r="695" spans="1:9">
      <c r="A695" s="785">
        <v>43477</v>
      </c>
      <c r="B695" t="s">
        <v>4414</v>
      </c>
      <c r="C695">
        <v>475.8</v>
      </c>
      <c r="D695">
        <v>475.8</v>
      </c>
      <c r="E695" s="765">
        <v>3283.28</v>
      </c>
      <c r="I695">
        <v>475.8</v>
      </c>
    </row>
    <row r="696" spans="1:9">
      <c r="A696" s="785">
        <v>43927</v>
      </c>
      <c r="B696" t="s">
        <v>4415</v>
      </c>
      <c r="C696">
        <v>12.83</v>
      </c>
      <c r="D696">
        <v>12.83</v>
      </c>
      <c r="E696" s="765">
        <v>3296.11</v>
      </c>
      <c r="I696">
        <v>12.83</v>
      </c>
    </row>
    <row r="697" spans="1:9">
      <c r="A697" s="785">
        <v>43927</v>
      </c>
      <c r="B697" t="s">
        <v>4416</v>
      </c>
      <c r="C697">
        <v>659.03</v>
      </c>
      <c r="D697">
        <v>659.03</v>
      </c>
      <c r="E697" s="765">
        <v>3955.14</v>
      </c>
      <c r="I697">
        <v>659.03</v>
      </c>
    </row>
    <row r="698" spans="1:9">
      <c r="A698" t="s">
        <v>4377</v>
      </c>
      <c r="B698" t="s">
        <v>4417</v>
      </c>
      <c r="C698">
        <v>31.7</v>
      </c>
      <c r="D698">
        <v>31.7</v>
      </c>
      <c r="E698" s="765">
        <v>3986.84</v>
      </c>
      <c r="I698">
        <v>31.7</v>
      </c>
    </row>
    <row r="699" spans="1:9">
      <c r="A699" t="s">
        <v>4377</v>
      </c>
      <c r="B699" t="s">
        <v>4418</v>
      </c>
      <c r="C699" s="765">
        <v>1135.8399999999999</v>
      </c>
      <c r="D699" s="765">
        <v>1135.8399999999999</v>
      </c>
      <c r="E699" s="765">
        <v>5122.68</v>
      </c>
      <c r="I699" s="765">
        <v>1135.8399999999999</v>
      </c>
    </row>
    <row r="700" spans="1:9">
      <c r="A700" t="s">
        <v>4377</v>
      </c>
      <c r="B700" t="s">
        <v>4419</v>
      </c>
      <c r="C700">
        <v>659.03</v>
      </c>
      <c r="D700">
        <v>659.03</v>
      </c>
      <c r="E700" s="765">
        <v>5781.71</v>
      </c>
      <c r="I700">
        <v>659.03</v>
      </c>
    </row>
    <row r="701" spans="1:9">
      <c r="A701" s="785">
        <v>43930</v>
      </c>
      <c r="B701" t="s">
        <v>5234</v>
      </c>
      <c r="C701">
        <v>36.24</v>
      </c>
      <c r="D701">
        <v>36.24</v>
      </c>
      <c r="E701" s="765">
        <v>5817.95</v>
      </c>
      <c r="I701">
        <v>36.24</v>
      </c>
    </row>
    <row r="702" spans="1:9">
      <c r="A702" s="785">
        <v>43930</v>
      </c>
      <c r="B702" t="s">
        <v>5235</v>
      </c>
      <c r="C702" s="765">
        <v>1135.8399999999999</v>
      </c>
      <c r="D702" s="765">
        <v>1135.8399999999999</v>
      </c>
      <c r="E702" s="765">
        <v>6953.79</v>
      </c>
      <c r="I702" s="765">
        <v>1135.8399999999999</v>
      </c>
    </row>
    <row r="703" spans="1:9">
      <c r="A703" s="785">
        <v>43930</v>
      </c>
      <c r="B703" t="s">
        <v>5236</v>
      </c>
      <c r="C703">
        <v>659.03</v>
      </c>
      <c r="D703">
        <v>659.03</v>
      </c>
      <c r="E703" s="765">
        <v>7612.82</v>
      </c>
      <c r="I703">
        <v>659.03</v>
      </c>
    </row>
    <row r="704" spans="1:9">
      <c r="A704" s="785">
        <v>44200</v>
      </c>
      <c r="B704" t="s">
        <v>6153</v>
      </c>
      <c r="C704">
        <v>0.39</v>
      </c>
      <c r="D704">
        <v>0.39</v>
      </c>
      <c r="E704" s="765">
        <v>7613.21</v>
      </c>
      <c r="I704">
        <v>0.39</v>
      </c>
    </row>
    <row r="705" spans="1:9">
      <c r="A705" s="785">
        <v>44200</v>
      </c>
      <c r="B705" t="s">
        <v>6154</v>
      </c>
      <c r="C705">
        <v>652.91999999999996</v>
      </c>
      <c r="D705">
        <v>652.91999999999996</v>
      </c>
      <c r="E705" s="765">
        <v>8266.1299999999992</v>
      </c>
      <c r="I705">
        <v>652.91999999999996</v>
      </c>
    </row>
    <row r="706" spans="1:9">
      <c r="A706" s="785">
        <v>44200</v>
      </c>
      <c r="B706" t="s">
        <v>6155</v>
      </c>
      <c r="C706" s="765">
        <v>1216.21</v>
      </c>
      <c r="D706" s="765">
        <v>1216.21</v>
      </c>
      <c r="E706" s="765">
        <v>9482.34</v>
      </c>
      <c r="I706" s="765">
        <v>1216.21</v>
      </c>
    </row>
    <row r="707" spans="1:9">
      <c r="A707" t="s">
        <v>6220</v>
      </c>
      <c r="B707" t="s">
        <v>6221</v>
      </c>
      <c r="C707" s="765">
        <v>1908.77</v>
      </c>
      <c r="D707" s="765">
        <v>1908.77</v>
      </c>
      <c r="E707" s="765">
        <v>11391.11</v>
      </c>
      <c r="I707" s="765">
        <v>1908.77</v>
      </c>
    </row>
    <row r="708" spans="1:9">
      <c r="A708" s="785">
        <v>44261</v>
      </c>
      <c r="B708" t="s">
        <v>6279</v>
      </c>
      <c r="C708" s="765">
        <v>1869.13</v>
      </c>
      <c r="D708" s="765">
        <v>1869.13</v>
      </c>
      <c r="E708" s="765">
        <v>13260.24</v>
      </c>
      <c r="I708" s="765">
        <v>1869.13</v>
      </c>
    </row>
    <row r="709" spans="1:9">
      <c r="A709" s="785">
        <v>44234</v>
      </c>
      <c r="B709" t="s">
        <v>6389</v>
      </c>
      <c r="C709" s="765">
        <v>1869.13</v>
      </c>
      <c r="D709" s="765">
        <v>1869.13</v>
      </c>
      <c r="E709" s="765">
        <v>15129.37</v>
      </c>
      <c r="I709" s="765">
        <v>1869.13</v>
      </c>
    </row>
    <row r="710" spans="1:9">
      <c r="A710" s="785">
        <v>44239</v>
      </c>
      <c r="B710" t="s">
        <v>7155</v>
      </c>
      <c r="C710" s="765">
        <v>1869.13</v>
      </c>
      <c r="D710" s="765">
        <v>1869.13</v>
      </c>
      <c r="E710" s="765">
        <v>16998.5</v>
      </c>
      <c r="H710" s="765">
        <v>1869.13</v>
      </c>
    </row>
    <row r="711" spans="1:9">
      <c r="A711" s="785">
        <v>44239</v>
      </c>
      <c r="B711" t="s">
        <v>7156</v>
      </c>
      <c r="C711" s="765">
        <v>1869.13</v>
      </c>
      <c r="D711" s="765">
        <v>1869.13</v>
      </c>
      <c r="E711" s="765">
        <v>18867.63</v>
      </c>
      <c r="H711" s="765">
        <v>1869.13</v>
      </c>
    </row>
    <row r="713" spans="1:9">
      <c r="A713" t="s">
        <v>4138</v>
      </c>
      <c r="B713" s="765">
        <v>18867.63</v>
      </c>
      <c r="C713" s="765">
        <v>18867.63</v>
      </c>
      <c r="D713">
        <v>0</v>
      </c>
      <c r="E713">
        <v>0</v>
      </c>
      <c r="F713" s="765">
        <v>3738.26</v>
      </c>
      <c r="G713" s="765">
        <v>15129.37</v>
      </c>
    </row>
    <row r="715" spans="1:9">
      <c r="A715">
        <v>11751</v>
      </c>
      <c r="B715" t="s">
        <v>6530</v>
      </c>
    </row>
    <row r="716" spans="1:9">
      <c r="A716" s="785">
        <v>44296</v>
      </c>
      <c r="B716" t="s">
        <v>6710</v>
      </c>
      <c r="C716">
        <v>994.12</v>
      </c>
      <c r="D716">
        <v>994.12</v>
      </c>
      <c r="E716">
        <v>994.12</v>
      </c>
      <c r="I716">
        <v>994.12</v>
      </c>
    </row>
    <row r="717" spans="1:9">
      <c r="A717" s="785">
        <v>44266</v>
      </c>
      <c r="B717" t="s">
        <v>6871</v>
      </c>
      <c r="C717">
        <v>518.47</v>
      </c>
      <c r="D717">
        <v>518.47</v>
      </c>
      <c r="E717" s="765">
        <v>1512.59</v>
      </c>
      <c r="I717">
        <v>518.47</v>
      </c>
    </row>
    <row r="718" spans="1:9">
      <c r="A718" s="785">
        <v>44239</v>
      </c>
      <c r="B718" t="s">
        <v>7157</v>
      </c>
      <c r="C718">
        <v>161.72999999999999</v>
      </c>
      <c r="D718">
        <v>161.72999999999999</v>
      </c>
      <c r="E718" s="765">
        <v>1674.32</v>
      </c>
      <c r="H718">
        <v>161.72999999999999</v>
      </c>
    </row>
    <row r="720" spans="1:9">
      <c r="A720" t="s">
        <v>4138</v>
      </c>
      <c r="B720" s="765">
        <v>1674.32</v>
      </c>
      <c r="C720" s="765">
        <v>1674.32</v>
      </c>
      <c r="D720">
        <v>0</v>
      </c>
      <c r="E720">
        <v>0</v>
      </c>
      <c r="F720">
        <v>161.72999999999999</v>
      </c>
      <c r="G720" s="765">
        <v>1512.59</v>
      </c>
    </row>
    <row r="722" spans="1:9">
      <c r="A722">
        <v>11755</v>
      </c>
      <c r="B722" t="s">
        <v>4420</v>
      </c>
    </row>
    <row r="723" spans="1:9">
      <c r="A723" s="785">
        <v>43983</v>
      </c>
      <c r="B723" t="s">
        <v>4421</v>
      </c>
      <c r="C723">
        <v>295.83999999999997</v>
      </c>
      <c r="D723">
        <v>295.83999999999997</v>
      </c>
      <c r="E723">
        <v>295.83999999999997</v>
      </c>
      <c r="I723">
        <v>295.83999999999997</v>
      </c>
    </row>
    <row r="725" spans="1:9">
      <c r="A725" t="s">
        <v>4138</v>
      </c>
      <c r="B725">
        <v>295.83999999999997</v>
      </c>
      <c r="C725">
        <v>295.83999999999997</v>
      </c>
      <c r="D725">
        <v>0</v>
      </c>
      <c r="E725">
        <v>0</v>
      </c>
      <c r="F725">
        <v>0</v>
      </c>
      <c r="G725">
        <v>295.83999999999997</v>
      </c>
    </row>
    <row r="727" spans="1:9">
      <c r="A727">
        <v>11762</v>
      </c>
      <c r="B727" t="s">
        <v>1028</v>
      </c>
    </row>
    <row r="728" spans="1:9">
      <c r="A728" s="785">
        <v>43232</v>
      </c>
      <c r="B728" t="s">
        <v>4422</v>
      </c>
      <c r="C728" s="765">
        <v>1206.9100000000001</v>
      </c>
      <c r="D728" s="765">
        <v>1206.9100000000001</v>
      </c>
      <c r="E728" s="765">
        <v>1206.9100000000001</v>
      </c>
      <c r="I728" s="765">
        <v>1206.9100000000001</v>
      </c>
    </row>
    <row r="729" spans="1:9">
      <c r="A729" t="s">
        <v>4423</v>
      </c>
      <c r="B729" t="s">
        <v>4424</v>
      </c>
      <c r="C729" s="765">
        <v>1114.4000000000001</v>
      </c>
      <c r="D729" s="765">
        <v>1114.4000000000001</v>
      </c>
      <c r="E729" s="765">
        <v>2321.31</v>
      </c>
      <c r="I729" s="765">
        <v>1114.4000000000001</v>
      </c>
    </row>
    <row r="730" spans="1:9">
      <c r="A730" t="s">
        <v>4423</v>
      </c>
      <c r="B730" t="s">
        <v>4425</v>
      </c>
      <c r="C730">
        <v>415.21</v>
      </c>
      <c r="D730">
        <v>415.21</v>
      </c>
      <c r="E730" s="765">
        <v>2736.52</v>
      </c>
      <c r="I730">
        <v>415.21</v>
      </c>
    </row>
    <row r="732" spans="1:9">
      <c r="A732" t="s">
        <v>4138</v>
      </c>
      <c r="B732" s="765">
        <v>2736.52</v>
      </c>
      <c r="C732" s="765">
        <v>2736.52</v>
      </c>
      <c r="D732">
        <v>0</v>
      </c>
      <c r="E732">
        <v>0</v>
      </c>
      <c r="F732">
        <v>0</v>
      </c>
      <c r="G732" s="765">
        <v>2736.52</v>
      </c>
    </row>
    <row r="734" spans="1:9">
      <c r="A734">
        <v>11764</v>
      </c>
      <c r="B734" t="s">
        <v>5327</v>
      </c>
    </row>
    <row r="735" spans="1:9">
      <c r="A735" s="785">
        <v>44317</v>
      </c>
      <c r="B735" t="s">
        <v>5746</v>
      </c>
      <c r="C735" s="765">
        <v>16644.96</v>
      </c>
      <c r="D735" s="765">
        <v>16644.96</v>
      </c>
      <c r="E735" s="765">
        <v>16644.96</v>
      </c>
      <c r="I735" s="765">
        <v>16644.96</v>
      </c>
    </row>
    <row r="736" spans="1:9">
      <c r="A736" t="s">
        <v>5874</v>
      </c>
      <c r="B736" t="s">
        <v>5880</v>
      </c>
      <c r="C736" s="765">
        <v>24042.22</v>
      </c>
      <c r="D736" s="765">
        <v>24042.22</v>
      </c>
      <c r="E736" s="765">
        <v>40687.18</v>
      </c>
      <c r="I736" s="765">
        <v>24042.22</v>
      </c>
    </row>
    <row r="737" spans="1:9">
      <c r="A737" s="785">
        <v>44230</v>
      </c>
      <c r="B737" t="s">
        <v>5934</v>
      </c>
      <c r="C737" s="765">
        <v>20510.54</v>
      </c>
      <c r="D737" s="765">
        <v>20510.54</v>
      </c>
      <c r="E737" s="765">
        <v>61197.72</v>
      </c>
      <c r="I737" s="765">
        <v>20510.54</v>
      </c>
    </row>
    <row r="738" spans="1:9">
      <c r="A738" s="785">
        <v>44263</v>
      </c>
      <c r="B738" t="s">
        <v>6484</v>
      </c>
      <c r="C738" s="765">
        <v>4225.99</v>
      </c>
      <c r="D738" s="765">
        <v>4225.99</v>
      </c>
      <c r="E738" s="765">
        <v>65423.71</v>
      </c>
      <c r="I738" s="765">
        <v>4225.99</v>
      </c>
    </row>
    <row r="739" spans="1:9">
      <c r="A739" s="785">
        <v>44356</v>
      </c>
      <c r="B739" t="s">
        <v>6593</v>
      </c>
      <c r="C739" s="765">
        <v>4296.55</v>
      </c>
      <c r="D739" s="765">
        <v>4296.55</v>
      </c>
      <c r="E739" s="765">
        <v>69720.259999999995</v>
      </c>
      <c r="I739" s="765">
        <v>4296.55</v>
      </c>
    </row>
    <row r="740" spans="1:9">
      <c r="A740" s="785">
        <v>44296</v>
      </c>
      <c r="B740" t="s">
        <v>6711</v>
      </c>
      <c r="C740" s="765">
        <v>4690.1499999999996</v>
      </c>
      <c r="D740" s="765">
        <v>4690.1499999999996</v>
      </c>
      <c r="E740" s="765">
        <v>74410.41</v>
      </c>
      <c r="I740" s="765">
        <v>4690.1499999999996</v>
      </c>
    </row>
    <row r="741" spans="1:9">
      <c r="A741" s="785">
        <v>44238</v>
      </c>
      <c r="B741" t="s">
        <v>6872</v>
      </c>
      <c r="C741" s="765">
        <v>3456.63</v>
      </c>
      <c r="D741" s="765">
        <v>3456.63</v>
      </c>
      <c r="E741" s="765">
        <v>77867.039999999994</v>
      </c>
      <c r="I741" s="765">
        <v>3456.63</v>
      </c>
    </row>
    <row r="742" spans="1:9">
      <c r="A742" s="785">
        <v>44239</v>
      </c>
      <c r="B742" t="s">
        <v>7158</v>
      </c>
      <c r="C742" s="765">
        <v>1951.61</v>
      </c>
      <c r="D742" s="765">
        <v>1951.61</v>
      </c>
      <c r="E742" s="765">
        <v>79818.649999999994</v>
      </c>
      <c r="H742" s="765">
        <v>1951.61</v>
      </c>
    </row>
    <row r="744" spans="1:9">
      <c r="A744" t="s">
        <v>4138</v>
      </c>
      <c r="B744" s="765">
        <v>79818.649999999994</v>
      </c>
      <c r="C744" s="765">
        <v>79818.649999999994</v>
      </c>
      <c r="D744">
        <v>0</v>
      </c>
      <c r="E744">
        <v>0</v>
      </c>
      <c r="F744" s="765">
        <v>1951.61</v>
      </c>
      <c r="G744" s="765">
        <v>77867.039999999994</v>
      </c>
    </row>
    <row r="746" spans="1:9">
      <c r="A746">
        <v>11770</v>
      </c>
      <c r="B746" t="s">
        <v>5281</v>
      </c>
    </row>
    <row r="747" spans="1:9">
      <c r="A747" s="785">
        <v>44356</v>
      </c>
      <c r="B747" t="s">
        <v>6873</v>
      </c>
      <c r="C747">
        <v>320.27999999999997</v>
      </c>
      <c r="D747">
        <v>320.27999999999997</v>
      </c>
      <c r="E747">
        <v>320.27999999999997</v>
      </c>
      <c r="I747">
        <v>320.27999999999997</v>
      </c>
    </row>
    <row r="748" spans="1:9">
      <c r="A748" s="785">
        <v>44239</v>
      </c>
      <c r="B748" t="s">
        <v>7159</v>
      </c>
      <c r="C748">
        <v>122.1</v>
      </c>
      <c r="D748">
        <v>122.1</v>
      </c>
      <c r="E748">
        <v>442.38</v>
      </c>
      <c r="H748">
        <v>122.1</v>
      </c>
    </row>
    <row r="750" spans="1:9">
      <c r="A750" t="s">
        <v>4138</v>
      </c>
      <c r="B750">
        <v>442.38</v>
      </c>
      <c r="C750">
        <v>442.38</v>
      </c>
      <c r="D750">
        <v>0</v>
      </c>
      <c r="E750">
        <v>0</v>
      </c>
      <c r="F750">
        <v>122.1</v>
      </c>
      <c r="G750">
        <v>320.27999999999997</v>
      </c>
    </row>
    <row r="752" spans="1:9">
      <c r="A752">
        <v>11776</v>
      </c>
      <c r="B752" t="s">
        <v>2069</v>
      </c>
    </row>
    <row r="753" spans="1:9">
      <c r="A753" s="785">
        <v>44208</v>
      </c>
      <c r="B753" t="s">
        <v>7160</v>
      </c>
      <c r="C753" s="765">
        <v>1649.24</v>
      </c>
      <c r="D753" s="765">
        <v>1649.24</v>
      </c>
      <c r="E753" s="765">
        <v>1649.24</v>
      </c>
      <c r="H753" s="765">
        <v>1649.24</v>
      </c>
    </row>
    <row r="754" spans="1:9">
      <c r="A754" s="785">
        <v>44208</v>
      </c>
      <c r="B754" t="s">
        <v>7161</v>
      </c>
      <c r="C754" s="765">
        <v>16786.48</v>
      </c>
      <c r="D754" s="765">
        <v>16786.48</v>
      </c>
      <c r="E754" s="765">
        <v>18435.72</v>
      </c>
      <c r="H754" s="765">
        <v>16786.48</v>
      </c>
    </row>
    <row r="756" spans="1:9">
      <c r="A756" t="s">
        <v>4138</v>
      </c>
      <c r="B756" s="765">
        <v>18435.72</v>
      </c>
      <c r="C756" s="765">
        <v>18435.72</v>
      </c>
      <c r="D756">
        <v>0</v>
      </c>
      <c r="E756">
        <v>0</v>
      </c>
      <c r="F756" s="765">
        <v>18435.72</v>
      </c>
      <c r="G756">
        <v>0</v>
      </c>
    </row>
    <row r="758" spans="1:9">
      <c r="A758">
        <v>11779</v>
      </c>
      <c r="B758" t="s">
        <v>1180</v>
      </c>
    </row>
    <row r="759" spans="1:9">
      <c r="A759" t="s">
        <v>4334</v>
      </c>
      <c r="B759" t="s">
        <v>4426</v>
      </c>
      <c r="C759">
        <v>841.26</v>
      </c>
      <c r="D759">
        <v>841.26</v>
      </c>
      <c r="E759">
        <v>841.26</v>
      </c>
      <c r="I759">
        <v>841.26</v>
      </c>
    </row>
    <row r="760" spans="1:9">
      <c r="A760" s="785">
        <v>43353</v>
      </c>
      <c r="B760" t="s">
        <v>4427</v>
      </c>
      <c r="C760">
        <v>841.26</v>
      </c>
      <c r="D760">
        <v>841.26</v>
      </c>
      <c r="E760" s="765">
        <v>1682.52</v>
      </c>
      <c r="I760">
        <v>841.26</v>
      </c>
    </row>
    <row r="761" spans="1:9">
      <c r="A761" s="785">
        <v>43232</v>
      </c>
      <c r="B761" t="s">
        <v>4428</v>
      </c>
      <c r="C761">
        <v>841.26</v>
      </c>
      <c r="D761">
        <v>841.26</v>
      </c>
      <c r="E761" s="765">
        <v>2523.7800000000002</v>
      </c>
      <c r="I761">
        <v>841.26</v>
      </c>
    </row>
    <row r="763" spans="1:9">
      <c r="A763" t="s">
        <v>4138</v>
      </c>
      <c r="B763" s="765">
        <v>2523.7800000000002</v>
      </c>
      <c r="C763" s="765">
        <v>2523.7800000000002</v>
      </c>
      <c r="D763">
        <v>0</v>
      </c>
      <c r="E763">
        <v>0</v>
      </c>
      <c r="F763">
        <v>0</v>
      </c>
      <c r="G763" s="765">
        <v>2523.7800000000002</v>
      </c>
    </row>
    <row r="765" spans="1:9">
      <c r="A765">
        <v>11784</v>
      </c>
      <c r="B765" t="s">
        <v>2164</v>
      </c>
    </row>
    <row r="766" spans="1:9">
      <c r="A766" s="785">
        <v>44208</v>
      </c>
      <c r="B766" t="s">
        <v>7162</v>
      </c>
      <c r="C766" s="765">
        <v>4389.46</v>
      </c>
      <c r="D766" s="765">
        <v>4389.46</v>
      </c>
      <c r="E766" s="765">
        <v>4389.46</v>
      </c>
      <c r="H766" s="765">
        <v>4389.46</v>
      </c>
    </row>
    <row r="768" spans="1:9">
      <c r="A768" t="s">
        <v>4138</v>
      </c>
      <c r="B768" s="765">
        <v>4389.46</v>
      </c>
      <c r="C768" s="765">
        <v>4389.46</v>
      </c>
      <c r="D768">
        <v>0</v>
      </c>
      <c r="E768">
        <v>0</v>
      </c>
      <c r="F768" s="765">
        <v>4389.46</v>
      </c>
      <c r="G768">
        <v>0</v>
      </c>
    </row>
    <row r="770" spans="1:9">
      <c r="A770">
        <v>11790</v>
      </c>
      <c r="B770" t="s">
        <v>1298</v>
      </c>
    </row>
    <row r="771" spans="1:9">
      <c r="A771" s="785">
        <v>44208</v>
      </c>
      <c r="B771" t="s">
        <v>7163</v>
      </c>
      <c r="C771" s="765">
        <v>33992.89</v>
      </c>
      <c r="D771" s="765">
        <v>33992.89</v>
      </c>
      <c r="E771" s="765">
        <v>33992.89</v>
      </c>
      <c r="H771" s="765">
        <v>33992.89</v>
      </c>
    </row>
    <row r="773" spans="1:9">
      <c r="A773" t="s">
        <v>4138</v>
      </c>
      <c r="B773" s="765">
        <v>33992.89</v>
      </c>
      <c r="C773" s="765">
        <v>33992.89</v>
      </c>
      <c r="D773">
        <v>0</v>
      </c>
      <c r="E773">
        <v>0</v>
      </c>
      <c r="F773" s="765">
        <v>33992.89</v>
      </c>
      <c r="G773">
        <v>0</v>
      </c>
    </row>
    <row r="775" spans="1:9">
      <c r="A775">
        <v>11797</v>
      </c>
      <c r="B775" t="s">
        <v>7164</v>
      </c>
    </row>
    <row r="776" spans="1:9">
      <c r="A776" s="785">
        <v>44267</v>
      </c>
      <c r="B776" t="s">
        <v>7165</v>
      </c>
      <c r="C776" s="765">
        <v>1128.68</v>
      </c>
      <c r="D776" s="765">
        <v>1128.68</v>
      </c>
      <c r="E776" s="765">
        <v>1128.68</v>
      </c>
      <c r="H776" s="765">
        <v>1128.68</v>
      </c>
    </row>
    <row r="778" spans="1:9">
      <c r="A778" t="s">
        <v>4138</v>
      </c>
      <c r="B778" s="765">
        <v>1128.68</v>
      </c>
      <c r="C778" s="765">
        <v>1128.68</v>
      </c>
      <c r="D778">
        <v>0</v>
      </c>
      <c r="E778">
        <v>0</v>
      </c>
      <c r="F778" s="765">
        <v>1128.68</v>
      </c>
      <c r="G778">
        <v>0</v>
      </c>
    </row>
    <row r="780" spans="1:9">
      <c r="A780">
        <v>11801</v>
      </c>
      <c r="B780" t="s">
        <v>2077</v>
      </c>
    </row>
    <row r="781" spans="1:9">
      <c r="A781" s="785">
        <v>43411</v>
      </c>
      <c r="B781" t="s">
        <v>4429</v>
      </c>
      <c r="C781" s="765">
        <v>3057.27</v>
      </c>
      <c r="D781" s="765">
        <v>3057.27</v>
      </c>
      <c r="E781" s="765">
        <v>3057.27</v>
      </c>
      <c r="I781" s="765">
        <v>3057.27</v>
      </c>
    </row>
    <row r="782" spans="1:9">
      <c r="A782" s="785">
        <v>44239</v>
      </c>
      <c r="B782" t="s">
        <v>7166</v>
      </c>
      <c r="C782" s="765">
        <v>24746.59</v>
      </c>
      <c r="D782" s="765">
        <v>24746.59</v>
      </c>
      <c r="E782" s="765">
        <v>27803.86</v>
      </c>
      <c r="H782" s="765">
        <v>24746.59</v>
      </c>
    </row>
    <row r="784" spans="1:9">
      <c r="A784" t="s">
        <v>4138</v>
      </c>
      <c r="B784" s="765">
        <v>27803.86</v>
      </c>
      <c r="C784" s="765">
        <v>27803.86</v>
      </c>
      <c r="D784">
        <v>0</v>
      </c>
      <c r="E784">
        <v>0</v>
      </c>
      <c r="F784" s="765">
        <v>24746.59</v>
      </c>
      <c r="G784" s="765">
        <v>3057.27</v>
      </c>
    </row>
    <row r="786" spans="1:9">
      <c r="A786">
        <v>11802</v>
      </c>
      <c r="B786" t="s">
        <v>3400</v>
      </c>
    </row>
    <row r="787" spans="1:9">
      <c r="A787" s="785">
        <v>44206</v>
      </c>
      <c r="B787" t="s">
        <v>6712</v>
      </c>
      <c r="C787" s="765">
        <v>8580.81</v>
      </c>
      <c r="D787" s="765">
        <v>8580.81</v>
      </c>
      <c r="E787" s="765">
        <v>8580.81</v>
      </c>
      <c r="I787" s="765">
        <v>8580.81</v>
      </c>
    </row>
    <row r="788" spans="1:9">
      <c r="A788" s="785">
        <v>44207</v>
      </c>
      <c r="B788" t="s">
        <v>6874</v>
      </c>
      <c r="C788" s="765">
        <v>9381.08</v>
      </c>
      <c r="D788" s="765">
        <v>9381.08</v>
      </c>
      <c r="E788" s="765">
        <v>17961.89</v>
      </c>
      <c r="I788" s="765">
        <v>9381.08</v>
      </c>
    </row>
    <row r="789" spans="1:9">
      <c r="A789" s="785">
        <v>44239</v>
      </c>
      <c r="B789" t="s">
        <v>7167</v>
      </c>
      <c r="C789" s="765">
        <v>14595.76</v>
      </c>
      <c r="D789" s="765">
        <v>14595.76</v>
      </c>
      <c r="E789" s="765">
        <v>32557.65</v>
      </c>
      <c r="H789" s="765">
        <v>14595.76</v>
      </c>
    </row>
    <row r="791" spans="1:9">
      <c r="A791" t="s">
        <v>4138</v>
      </c>
      <c r="B791" s="765">
        <v>32557.65</v>
      </c>
      <c r="C791" s="765">
        <v>32557.65</v>
      </c>
      <c r="D791">
        <v>0</v>
      </c>
      <c r="E791">
        <v>0</v>
      </c>
      <c r="F791" s="765">
        <v>14595.76</v>
      </c>
      <c r="G791" s="765">
        <v>17961.89</v>
      </c>
    </row>
    <row r="793" spans="1:9">
      <c r="A793">
        <v>11806</v>
      </c>
      <c r="B793" t="s">
        <v>3401</v>
      </c>
    </row>
    <row r="794" spans="1:9">
      <c r="A794" s="785">
        <v>43893</v>
      </c>
      <c r="B794" t="s">
        <v>4430</v>
      </c>
      <c r="C794">
        <v>392.51</v>
      </c>
      <c r="D794">
        <v>392.51</v>
      </c>
      <c r="E794">
        <v>392.51</v>
      </c>
      <c r="I794">
        <v>392.51</v>
      </c>
    </row>
    <row r="796" spans="1:9">
      <c r="A796" t="s">
        <v>4138</v>
      </c>
      <c r="B796">
        <v>392.51</v>
      </c>
      <c r="C796">
        <v>392.51</v>
      </c>
      <c r="D796">
        <v>0</v>
      </c>
      <c r="E796">
        <v>0</v>
      </c>
      <c r="F796">
        <v>0</v>
      </c>
      <c r="G796">
        <v>392.51</v>
      </c>
    </row>
    <row r="798" spans="1:9">
      <c r="A798">
        <v>11809</v>
      </c>
      <c r="B798" t="s">
        <v>3402</v>
      </c>
    </row>
    <row r="799" spans="1:9">
      <c r="A799" s="785">
        <v>43232</v>
      </c>
      <c r="B799" t="s">
        <v>4431</v>
      </c>
      <c r="C799" s="765">
        <v>1163.31</v>
      </c>
      <c r="D799" s="765">
        <v>1163.31</v>
      </c>
      <c r="E799" s="765">
        <v>1163.31</v>
      </c>
      <c r="I799" s="765">
        <v>1163.31</v>
      </c>
    </row>
    <row r="800" spans="1:9">
      <c r="A800" t="s">
        <v>4334</v>
      </c>
      <c r="B800" t="s">
        <v>4432</v>
      </c>
      <c r="C800" s="765">
        <v>1159.92</v>
      </c>
      <c r="D800" s="765">
        <v>1159.92</v>
      </c>
      <c r="E800" s="765">
        <v>2323.23</v>
      </c>
      <c r="I800" s="765">
        <v>1159.92</v>
      </c>
    </row>
    <row r="802" spans="1:9">
      <c r="A802" t="s">
        <v>4138</v>
      </c>
      <c r="B802" s="765">
        <v>2323.23</v>
      </c>
      <c r="C802" s="765">
        <v>2323.23</v>
      </c>
      <c r="D802">
        <v>0</v>
      </c>
      <c r="E802">
        <v>0</v>
      </c>
      <c r="F802">
        <v>0</v>
      </c>
      <c r="G802" s="765">
        <v>2323.23</v>
      </c>
    </row>
    <row r="804" spans="1:9">
      <c r="A804">
        <v>11811</v>
      </c>
      <c r="B804" t="s">
        <v>3403</v>
      </c>
    </row>
    <row r="805" spans="1:9">
      <c r="A805" s="785">
        <v>43232</v>
      </c>
      <c r="B805" t="s">
        <v>4433</v>
      </c>
      <c r="C805" s="765">
        <v>5917.69</v>
      </c>
      <c r="D805" s="765">
        <v>5917.69</v>
      </c>
      <c r="E805" s="765">
        <v>5917.69</v>
      </c>
      <c r="I805" s="765">
        <v>5917.69</v>
      </c>
    </row>
    <row r="806" spans="1:9">
      <c r="A806" s="785">
        <v>43232</v>
      </c>
      <c r="B806" t="s">
        <v>4434</v>
      </c>
      <c r="C806" s="765">
        <v>5155.43</v>
      </c>
      <c r="D806" s="765">
        <v>5155.43</v>
      </c>
      <c r="E806" s="765">
        <v>11073.12</v>
      </c>
      <c r="I806" s="765">
        <v>5155.43</v>
      </c>
    </row>
    <row r="807" spans="1:9">
      <c r="A807" t="s">
        <v>4435</v>
      </c>
      <c r="B807" t="s">
        <v>4436</v>
      </c>
      <c r="C807" s="765">
        <v>5569</v>
      </c>
      <c r="D807" s="765">
        <v>5569</v>
      </c>
      <c r="E807" s="765">
        <v>16642.12</v>
      </c>
      <c r="I807" s="765">
        <v>5569</v>
      </c>
    </row>
    <row r="808" spans="1:9">
      <c r="A808" s="785">
        <v>43836</v>
      </c>
      <c r="B808" t="s">
        <v>4437</v>
      </c>
      <c r="C808" s="765">
        <v>5391.97</v>
      </c>
      <c r="D808" s="765">
        <v>5391.97</v>
      </c>
      <c r="E808" s="765">
        <v>22034.09</v>
      </c>
      <c r="I808" s="765">
        <v>5391.97</v>
      </c>
    </row>
    <row r="809" spans="1:9">
      <c r="A809" s="785">
        <v>43837</v>
      </c>
      <c r="B809" t="s">
        <v>4438</v>
      </c>
      <c r="C809" s="765">
        <v>7218.52</v>
      </c>
      <c r="D809" s="765">
        <v>7218.52</v>
      </c>
      <c r="E809" s="765">
        <v>29252.61</v>
      </c>
      <c r="I809" s="765">
        <v>7218.52</v>
      </c>
    </row>
    <row r="810" spans="1:9">
      <c r="A810" s="785">
        <v>43898</v>
      </c>
      <c r="B810" t="s">
        <v>4439</v>
      </c>
      <c r="C810" s="765">
        <v>5830.96</v>
      </c>
      <c r="D810" s="765">
        <v>5830.96</v>
      </c>
      <c r="E810" s="765">
        <v>35083.57</v>
      </c>
      <c r="I810" s="765">
        <v>5830.96</v>
      </c>
    </row>
    <row r="811" spans="1:9">
      <c r="A811" s="785">
        <v>43870</v>
      </c>
      <c r="B811" t="s">
        <v>5237</v>
      </c>
      <c r="C811" s="765">
        <v>5465.19</v>
      </c>
      <c r="D811" s="765">
        <v>5465.19</v>
      </c>
      <c r="E811" s="765">
        <v>40548.76</v>
      </c>
      <c r="I811" s="765">
        <v>5465.19</v>
      </c>
    </row>
    <row r="812" spans="1:9">
      <c r="A812" s="785">
        <v>43871</v>
      </c>
      <c r="B812" t="s">
        <v>5282</v>
      </c>
      <c r="C812" s="765">
        <v>6436.03</v>
      </c>
      <c r="D812" s="765">
        <v>6436.03</v>
      </c>
      <c r="E812" s="765">
        <v>46984.79</v>
      </c>
      <c r="I812" s="765">
        <v>6436.03</v>
      </c>
    </row>
    <row r="813" spans="1:9">
      <c r="A813" s="785">
        <v>43901</v>
      </c>
      <c r="B813" t="s">
        <v>5328</v>
      </c>
      <c r="C813" s="765">
        <v>5926.08</v>
      </c>
      <c r="D813" s="765">
        <v>5926.08</v>
      </c>
      <c r="E813" s="765">
        <v>52910.87</v>
      </c>
      <c r="I813" s="765">
        <v>5926.08</v>
      </c>
    </row>
    <row r="814" spans="1:9">
      <c r="A814" s="785">
        <v>43842</v>
      </c>
      <c r="B814" t="s">
        <v>5610</v>
      </c>
      <c r="C814" s="765">
        <v>6297.13</v>
      </c>
      <c r="D814" s="765">
        <v>6297.13</v>
      </c>
      <c r="E814" s="765">
        <v>59208</v>
      </c>
      <c r="I814" s="765">
        <v>6297.13</v>
      </c>
    </row>
    <row r="815" spans="1:9">
      <c r="A815" s="785">
        <v>44317</v>
      </c>
      <c r="B815" t="s">
        <v>5747</v>
      </c>
      <c r="C815" s="765">
        <v>5906.45</v>
      </c>
      <c r="D815" s="765">
        <v>5906.45</v>
      </c>
      <c r="E815" s="765">
        <v>65114.45</v>
      </c>
      <c r="I815" s="765">
        <v>5906.45</v>
      </c>
    </row>
    <row r="816" spans="1:9">
      <c r="A816" s="785">
        <v>44288</v>
      </c>
      <c r="B816" t="s">
        <v>5881</v>
      </c>
      <c r="C816" s="765">
        <v>6504.37</v>
      </c>
      <c r="D816" s="765">
        <v>6504.37</v>
      </c>
      <c r="E816" s="765">
        <v>71618.820000000007</v>
      </c>
      <c r="I816" s="765">
        <v>6504.37</v>
      </c>
    </row>
    <row r="817" spans="1:9">
      <c r="A817" s="785">
        <v>44230</v>
      </c>
      <c r="B817" t="s">
        <v>5935</v>
      </c>
      <c r="C817" s="765">
        <v>7596.76</v>
      </c>
      <c r="D817" s="765">
        <v>7596.76</v>
      </c>
      <c r="E817" s="765">
        <v>79215.58</v>
      </c>
      <c r="I817" s="765">
        <v>7596.76</v>
      </c>
    </row>
    <row r="818" spans="1:9">
      <c r="A818" s="785">
        <v>44200</v>
      </c>
      <c r="B818" t="s">
        <v>6156</v>
      </c>
      <c r="C818" s="765">
        <v>6951.07</v>
      </c>
      <c r="D818" s="765">
        <v>6951.07</v>
      </c>
      <c r="E818" s="765">
        <v>86166.65</v>
      </c>
      <c r="I818" s="765">
        <v>6951.07</v>
      </c>
    </row>
    <row r="819" spans="1:9">
      <c r="A819" s="785">
        <v>44260</v>
      </c>
      <c r="B819" t="s">
        <v>6222</v>
      </c>
      <c r="C819" s="765">
        <v>7825.07</v>
      </c>
      <c r="D819" s="765">
        <v>7825.07</v>
      </c>
      <c r="E819" s="765">
        <v>93991.72</v>
      </c>
      <c r="I819" s="765">
        <v>7825.07</v>
      </c>
    </row>
    <row r="820" spans="1:9">
      <c r="A820" s="785">
        <v>44202</v>
      </c>
      <c r="B820" t="s">
        <v>6280</v>
      </c>
      <c r="C820" s="765">
        <v>5295.43</v>
      </c>
      <c r="D820" s="765">
        <v>5295.43</v>
      </c>
      <c r="E820" s="765">
        <v>99287.15</v>
      </c>
      <c r="I820" s="765">
        <v>5295.43</v>
      </c>
    </row>
    <row r="821" spans="1:9">
      <c r="A821" s="785">
        <v>44234</v>
      </c>
      <c r="B821" t="s">
        <v>6390</v>
      </c>
      <c r="C821" s="765">
        <v>6571.75</v>
      </c>
      <c r="D821" s="765">
        <v>6571.75</v>
      </c>
      <c r="E821" s="765">
        <v>105858.9</v>
      </c>
      <c r="I821" s="765">
        <v>6571.75</v>
      </c>
    </row>
    <row r="822" spans="1:9">
      <c r="A822" s="785">
        <v>44263</v>
      </c>
      <c r="B822" t="s">
        <v>6485</v>
      </c>
      <c r="C822" s="765">
        <v>5762.76</v>
      </c>
      <c r="D822" s="765">
        <v>5762.76</v>
      </c>
      <c r="E822" s="765">
        <v>111621.66</v>
      </c>
      <c r="I822" s="765">
        <v>5762.76</v>
      </c>
    </row>
    <row r="823" spans="1:9">
      <c r="A823" s="785">
        <v>44356</v>
      </c>
      <c r="B823" t="s">
        <v>6594</v>
      </c>
      <c r="C823" s="765">
        <v>5782.17</v>
      </c>
      <c r="D823" s="765">
        <v>5782.17</v>
      </c>
      <c r="E823" s="765">
        <v>117403.83</v>
      </c>
      <c r="I823" s="765">
        <v>5782.17</v>
      </c>
    </row>
    <row r="824" spans="1:9">
      <c r="A824" s="785">
        <v>44239</v>
      </c>
      <c r="B824" t="s">
        <v>7168</v>
      </c>
      <c r="C824" s="765">
        <v>8742.2900000000009</v>
      </c>
      <c r="D824" s="765">
        <v>8742.2900000000009</v>
      </c>
      <c r="E824" s="765">
        <v>126146.12</v>
      </c>
      <c r="H824" s="765">
        <v>8742.2900000000009</v>
      </c>
    </row>
    <row r="826" spans="1:9">
      <c r="A826" t="s">
        <v>4138</v>
      </c>
      <c r="B826" s="765">
        <v>126146.12</v>
      </c>
      <c r="C826" s="765">
        <v>126146.12</v>
      </c>
      <c r="D826">
        <v>0</v>
      </c>
      <c r="E826">
        <v>0</v>
      </c>
      <c r="F826" s="765">
        <v>8742.2900000000009</v>
      </c>
      <c r="G826" s="765">
        <v>117403.83</v>
      </c>
    </row>
    <row r="828" spans="1:9">
      <c r="A828">
        <v>11812</v>
      </c>
      <c r="B828" t="s">
        <v>3404</v>
      </c>
    </row>
    <row r="829" spans="1:9">
      <c r="A829" s="785">
        <v>43654</v>
      </c>
      <c r="B829" t="s">
        <v>4440</v>
      </c>
      <c r="C829" s="765">
        <v>2122.0700000000002</v>
      </c>
      <c r="D829">
        <v>574.05999999999995</v>
      </c>
      <c r="E829">
        <v>574.05999999999995</v>
      </c>
      <c r="I829">
        <v>574.05999999999995</v>
      </c>
    </row>
    <row r="830" spans="1:9">
      <c r="A830" s="785">
        <v>43533</v>
      </c>
      <c r="B830" t="s">
        <v>4441</v>
      </c>
      <c r="C830" s="765">
        <v>2014.23</v>
      </c>
      <c r="D830" s="765">
        <v>2014.23</v>
      </c>
      <c r="E830" s="765">
        <v>2588.29</v>
      </c>
      <c r="I830" s="765">
        <v>2014.23</v>
      </c>
    </row>
    <row r="831" spans="1:9">
      <c r="A831" s="785">
        <v>43534</v>
      </c>
      <c r="B831" t="s">
        <v>4442</v>
      </c>
      <c r="C831" s="765">
        <v>1906.38</v>
      </c>
      <c r="D831" s="765">
        <v>1906.38</v>
      </c>
      <c r="E831" s="765">
        <v>4494.67</v>
      </c>
      <c r="I831" s="765">
        <v>1906.38</v>
      </c>
    </row>
    <row r="832" spans="1:9">
      <c r="A832" s="785">
        <v>43477</v>
      </c>
      <c r="B832" t="s">
        <v>4443</v>
      </c>
      <c r="C832" s="765">
        <v>1510.95</v>
      </c>
      <c r="D832" s="765">
        <v>1510.95</v>
      </c>
      <c r="E832" s="765">
        <v>6005.62</v>
      </c>
      <c r="I832" s="765">
        <v>1510.95</v>
      </c>
    </row>
    <row r="833" spans="1:9">
      <c r="A833" s="785">
        <v>43870</v>
      </c>
      <c r="B833" t="s">
        <v>5238</v>
      </c>
      <c r="C833" s="765">
        <v>3435.99</v>
      </c>
      <c r="D833" s="765">
        <v>3435.99</v>
      </c>
      <c r="E833" s="765">
        <v>9441.61</v>
      </c>
      <c r="I833" s="765">
        <v>3435.99</v>
      </c>
    </row>
    <row r="834" spans="1:9">
      <c r="A834" s="785">
        <v>44230</v>
      </c>
      <c r="B834" t="s">
        <v>5936</v>
      </c>
      <c r="C834" s="765">
        <v>3324.99</v>
      </c>
      <c r="D834" s="765">
        <v>3324.99</v>
      </c>
      <c r="E834" s="765">
        <v>12766.6</v>
      </c>
      <c r="I834" s="765">
        <v>3324.99</v>
      </c>
    </row>
    <row r="836" spans="1:9">
      <c r="A836" t="s">
        <v>4138</v>
      </c>
      <c r="B836" s="765">
        <v>14314.61</v>
      </c>
      <c r="C836" s="765">
        <v>12766.6</v>
      </c>
      <c r="D836">
        <v>0</v>
      </c>
      <c r="E836">
        <v>0</v>
      </c>
      <c r="F836">
        <v>0</v>
      </c>
      <c r="G836" s="765">
        <v>12766.6</v>
      </c>
    </row>
    <row r="838" spans="1:9">
      <c r="A838">
        <v>11814</v>
      </c>
      <c r="B838" t="s">
        <v>3405</v>
      </c>
    </row>
    <row r="839" spans="1:9">
      <c r="A839" s="785">
        <v>44207</v>
      </c>
      <c r="B839" t="s">
        <v>6875</v>
      </c>
      <c r="C839" s="765">
        <v>3882.49</v>
      </c>
      <c r="D839" s="765">
        <v>3882.49</v>
      </c>
      <c r="E839" s="765">
        <v>3882.49</v>
      </c>
      <c r="I839" s="765">
        <v>3882.49</v>
      </c>
    </row>
    <row r="840" spans="1:9">
      <c r="A840" s="785">
        <v>44239</v>
      </c>
      <c r="B840" t="s">
        <v>7169</v>
      </c>
      <c r="C840" s="765">
        <v>3803.61</v>
      </c>
      <c r="D840" s="765">
        <v>3803.61</v>
      </c>
      <c r="E840" s="765">
        <v>7686.1</v>
      </c>
      <c r="H840" s="765">
        <v>3803.61</v>
      </c>
    </row>
    <row r="842" spans="1:9">
      <c r="A842" t="s">
        <v>4138</v>
      </c>
      <c r="B842" s="765">
        <v>7686.1</v>
      </c>
      <c r="C842" s="765">
        <v>7686.1</v>
      </c>
      <c r="D842">
        <v>0</v>
      </c>
      <c r="E842">
        <v>0</v>
      </c>
      <c r="F842" s="765">
        <v>3803.61</v>
      </c>
      <c r="G842" s="765">
        <v>3882.49</v>
      </c>
    </row>
    <row r="844" spans="1:9">
      <c r="A844">
        <v>11816</v>
      </c>
      <c r="B844" t="s">
        <v>6281</v>
      </c>
    </row>
    <row r="845" spans="1:9">
      <c r="A845" s="785">
        <v>44263</v>
      </c>
      <c r="B845" t="s">
        <v>6486</v>
      </c>
      <c r="C845">
        <v>914.84</v>
      </c>
      <c r="D845">
        <v>914.84</v>
      </c>
      <c r="E845">
        <v>914.84</v>
      </c>
      <c r="I845">
        <v>914.84</v>
      </c>
    </row>
    <row r="846" spans="1:9">
      <c r="A846" s="785">
        <v>44263</v>
      </c>
      <c r="B846" t="s">
        <v>6487</v>
      </c>
      <c r="C846" s="765">
        <v>6741.51</v>
      </c>
      <c r="D846" s="765">
        <v>6741.51</v>
      </c>
      <c r="E846" s="765">
        <v>7656.35</v>
      </c>
      <c r="I846" s="765">
        <v>6741.51</v>
      </c>
    </row>
    <row r="847" spans="1:9">
      <c r="A847" s="785">
        <v>44263</v>
      </c>
      <c r="B847" t="s">
        <v>6488</v>
      </c>
      <c r="C847">
        <v>439.19</v>
      </c>
      <c r="D847">
        <v>439.19</v>
      </c>
      <c r="E847" s="765">
        <v>8095.54</v>
      </c>
      <c r="I847">
        <v>439.19</v>
      </c>
    </row>
    <row r="848" spans="1:9">
      <c r="A848" s="785">
        <v>44356</v>
      </c>
      <c r="B848" t="s">
        <v>6595</v>
      </c>
      <c r="C848">
        <v>795.93</v>
      </c>
      <c r="D848">
        <v>795.93</v>
      </c>
      <c r="E848" s="765">
        <v>8891.4699999999993</v>
      </c>
      <c r="I848">
        <v>795.93</v>
      </c>
    </row>
    <row r="849" spans="1:9">
      <c r="A849" s="785">
        <v>44356</v>
      </c>
      <c r="B849" t="s">
        <v>6596</v>
      </c>
      <c r="C849" s="765">
        <v>5829.85</v>
      </c>
      <c r="D849" s="765">
        <v>5829.85</v>
      </c>
      <c r="E849" s="765">
        <v>14721.32</v>
      </c>
      <c r="I849" s="765">
        <v>5829.85</v>
      </c>
    </row>
    <row r="850" spans="1:9">
      <c r="A850" s="785">
        <v>44356</v>
      </c>
      <c r="B850" t="s">
        <v>6597</v>
      </c>
      <c r="C850" s="765">
        <v>2619.2399999999998</v>
      </c>
      <c r="D850" s="765">
        <v>2619.2399999999998</v>
      </c>
      <c r="E850" s="765">
        <v>17340.560000000001</v>
      </c>
      <c r="I850" s="765">
        <v>2619.2399999999998</v>
      </c>
    </row>
    <row r="851" spans="1:9">
      <c r="A851" s="785">
        <v>44296</v>
      </c>
      <c r="B851" t="s">
        <v>6713</v>
      </c>
      <c r="C851">
        <v>835.57</v>
      </c>
      <c r="D851">
        <v>835.57</v>
      </c>
      <c r="E851" s="765">
        <v>18176.13</v>
      </c>
      <c r="I851">
        <v>835.57</v>
      </c>
    </row>
    <row r="852" spans="1:9">
      <c r="A852" s="785">
        <v>44296</v>
      </c>
      <c r="B852" t="s">
        <v>6714</v>
      </c>
      <c r="C852" s="765">
        <v>4878.5600000000004</v>
      </c>
      <c r="D852" s="765">
        <v>4878.5600000000004</v>
      </c>
      <c r="E852" s="765">
        <v>23054.69</v>
      </c>
      <c r="I852" s="765">
        <v>4878.5600000000004</v>
      </c>
    </row>
    <row r="853" spans="1:9">
      <c r="A853" s="785">
        <v>44296</v>
      </c>
      <c r="B853" t="s">
        <v>6715</v>
      </c>
      <c r="C853" s="765">
        <v>1826.5</v>
      </c>
      <c r="D853" s="765">
        <v>1826.5</v>
      </c>
      <c r="E853" s="765">
        <v>24881.19</v>
      </c>
      <c r="I853" s="765">
        <v>1826.5</v>
      </c>
    </row>
    <row r="854" spans="1:9">
      <c r="A854" s="785">
        <v>44238</v>
      </c>
      <c r="B854" t="s">
        <v>6876</v>
      </c>
      <c r="C854" s="765">
        <v>2302.14</v>
      </c>
      <c r="D854" s="765">
        <v>2302.14</v>
      </c>
      <c r="E854" s="765">
        <v>27183.33</v>
      </c>
      <c r="I854" s="765">
        <v>2302.14</v>
      </c>
    </row>
    <row r="855" spans="1:9">
      <c r="A855" s="785">
        <v>44238</v>
      </c>
      <c r="B855" t="s">
        <v>6877</v>
      </c>
      <c r="C855" s="765">
        <v>4680.38</v>
      </c>
      <c r="D855" s="765">
        <v>4680.38</v>
      </c>
      <c r="E855" s="765">
        <v>31863.71</v>
      </c>
      <c r="I855" s="765">
        <v>4680.38</v>
      </c>
    </row>
    <row r="856" spans="1:9">
      <c r="A856" s="785">
        <v>44238</v>
      </c>
      <c r="B856" t="s">
        <v>6878</v>
      </c>
      <c r="C856" s="765">
        <v>2103.96</v>
      </c>
      <c r="D856" s="765">
        <v>2103.96</v>
      </c>
      <c r="E856" s="765">
        <v>33967.67</v>
      </c>
      <c r="I856" s="765">
        <v>2103.96</v>
      </c>
    </row>
    <row r="857" spans="1:9">
      <c r="A857" s="785">
        <v>44239</v>
      </c>
      <c r="B857" t="s">
        <v>7170</v>
      </c>
      <c r="C857" s="765">
        <v>1033.75</v>
      </c>
      <c r="D857" s="765">
        <v>1033.75</v>
      </c>
      <c r="E857" s="765">
        <v>35001.42</v>
      </c>
      <c r="H857" s="765">
        <v>1033.75</v>
      </c>
    </row>
    <row r="858" spans="1:9">
      <c r="A858" s="785">
        <v>44239</v>
      </c>
      <c r="B858" t="s">
        <v>7171</v>
      </c>
      <c r="C858">
        <v>320.27999999999997</v>
      </c>
      <c r="D858">
        <v>320.27999999999997</v>
      </c>
      <c r="E858" s="765">
        <v>35321.699999999997</v>
      </c>
      <c r="H858">
        <v>320.27999999999997</v>
      </c>
    </row>
    <row r="859" spans="1:9">
      <c r="A859" s="785">
        <v>44239</v>
      </c>
      <c r="B859" t="s">
        <v>7172</v>
      </c>
      <c r="C859">
        <v>280.64999999999998</v>
      </c>
      <c r="D859">
        <v>280.64999999999998</v>
      </c>
      <c r="E859" s="765">
        <v>35602.35</v>
      </c>
      <c r="H859">
        <v>280.64999999999998</v>
      </c>
    </row>
    <row r="861" spans="1:9">
      <c r="A861" t="s">
        <v>4138</v>
      </c>
      <c r="B861" s="765">
        <v>35602.35</v>
      </c>
      <c r="C861" s="765">
        <v>35602.35</v>
      </c>
      <c r="D861">
        <v>0</v>
      </c>
      <c r="E861">
        <v>0</v>
      </c>
      <c r="F861" s="765">
        <v>1634.68</v>
      </c>
      <c r="G861" s="765">
        <v>33967.67</v>
      </c>
    </row>
    <row r="863" spans="1:9">
      <c r="A863">
        <v>11818</v>
      </c>
      <c r="B863" t="s">
        <v>2089</v>
      </c>
    </row>
    <row r="864" spans="1:9">
      <c r="A864" s="785">
        <v>43353</v>
      </c>
      <c r="B864" t="s">
        <v>4444</v>
      </c>
      <c r="C864">
        <v>239.11</v>
      </c>
      <c r="D864">
        <v>239.11</v>
      </c>
      <c r="E864">
        <v>239.11</v>
      </c>
      <c r="I864">
        <v>239.11</v>
      </c>
    </row>
    <row r="865" spans="1:9">
      <c r="A865" s="785">
        <v>43801</v>
      </c>
      <c r="B865" t="s">
        <v>4445</v>
      </c>
      <c r="C865">
        <v>333.23</v>
      </c>
      <c r="D865">
        <v>333.23</v>
      </c>
      <c r="E865">
        <v>572.34</v>
      </c>
      <c r="I865">
        <v>333.23</v>
      </c>
    </row>
    <row r="867" spans="1:9">
      <c r="A867" t="s">
        <v>4138</v>
      </c>
      <c r="B867">
        <v>572.34</v>
      </c>
      <c r="C867">
        <v>572.34</v>
      </c>
      <c r="D867">
        <v>0</v>
      </c>
      <c r="E867">
        <v>0</v>
      </c>
      <c r="F867">
        <v>0</v>
      </c>
      <c r="G867">
        <v>572.34</v>
      </c>
    </row>
    <row r="869" spans="1:9">
      <c r="A869">
        <v>11821</v>
      </c>
      <c r="B869" t="s">
        <v>4446</v>
      </c>
    </row>
    <row r="870" spans="1:9">
      <c r="A870" s="785">
        <v>43534</v>
      </c>
      <c r="B870" t="s">
        <v>4447</v>
      </c>
      <c r="C870">
        <v>822.54</v>
      </c>
      <c r="D870">
        <v>822.54</v>
      </c>
      <c r="E870">
        <v>822.54</v>
      </c>
      <c r="I870">
        <v>822.54</v>
      </c>
    </row>
    <row r="872" spans="1:9">
      <c r="A872" t="s">
        <v>4138</v>
      </c>
      <c r="B872">
        <v>822.54</v>
      </c>
      <c r="C872">
        <v>822.54</v>
      </c>
      <c r="D872">
        <v>0</v>
      </c>
      <c r="E872">
        <v>0</v>
      </c>
      <c r="F872">
        <v>0</v>
      </c>
      <c r="G872">
        <v>822.54</v>
      </c>
    </row>
    <row r="874" spans="1:9">
      <c r="A874">
        <v>11822</v>
      </c>
      <c r="B874" t="s">
        <v>3406</v>
      </c>
    </row>
    <row r="875" spans="1:9">
      <c r="A875" s="785">
        <v>43534</v>
      </c>
      <c r="B875" t="s">
        <v>4448</v>
      </c>
      <c r="C875">
        <v>355.21</v>
      </c>
      <c r="D875">
        <v>355.21</v>
      </c>
      <c r="E875">
        <v>355.21</v>
      </c>
      <c r="I875">
        <v>355.21</v>
      </c>
    </row>
    <row r="876" spans="1:9">
      <c r="A876" t="s">
        <v>4449</v>
      </c>
      <c r="B876" t="s">
        <v>4450</v>
      </c>
      <c r="C876">
        <v>79.180000000000007</v>
      </c>
      <c r="D876">
        <v>79.180000000000007</v>
      </c>
      <c r="E876">
        <v>434.39</v>
      </c>
      <c r="I876">
        <v>79.180000000000007</v>
      </c>
    </row>
    <row r="877" spans="1:9">
      <c r="A877" s="785">
        <v>43893</v>
      </c>
      <c r="B877" t="s">
        <v>4451</v>
      </c>
      <c r="C877">
        <v>154.66999999999999</v>
      </c>
      <c r="D877">
        <v>154.66999999999999</v>
      </c>
      <c r="E877">
        <v>589.05999999999995</v>
      </c>
      <c r="I877">
        <v>154.66999999999999</v>
      </c>
    </row>
    <row r="879" spans="1:9">
      <c r="A879" t="s">
        <v>4138</v>
      </c>
      <c r="B879">
        <v>589.05999999999995</v>
      </c>
      <c r="C879">
        <v>589.05999999999995</v>
      </c>
      <c r="D879">
        <v>0</v>
      </c>
      <c r="E879">
        <v>0</v>
      </c>
      <c r="F879">
        <v>0</v>
      </c>
      <c r="G879">
        <v>589.05999999999995</v>
      </c>
    </row>
    <row r="881" spans="1:9">
      <c r="A881">
        <v>11823</v>
      </c>
      <c r="B881" t="s">
        <v>2092</v>
      </c>
    </row>
    <row r="882" spans="1:9">
      <c r="A882" s="785">
        <v>43232</v>
      </c>
      <c r="B882" t="s">
        <v>4452</v>
      </c>
      <c r="C882" s="765">
        <v>2851.84</v>
      </c>
      <c r="D882" s="765">
        <v>2851.84</v>
      </c>
      <c r="E882" s="765">
        <v>2851.84</v>
      </c>
      <c r="I882" s="765">
        <v>2851.84</v>
      </c>
    </row>
    <row r="883" spans="1:9">
      <c r="A883" s="785">
        <v>43232</v>
      </c>
      <c r="B883" t="s">
        <v>4453</v>
      </c>
      <c r="C883" s="765">
        <v>2693.03</v>
      </c>
      <c r="D883" s="765">
        <v>2693.03</v>
      </c>
      <c r="E883" s="765">
        <v>5544.87</v>
      </c>
      <c r="I883" s="765">
        <v>2693.03</v>
      </c>
    </row>
    <row r="885" spans="1:9">
      <c r="A885" t="s">
        <v>4138</v>
      </c>
      <c r="B885" s="765">
        <v>5544.87</v>
      </c>
      <c r="C885" s="765">
        <v>5544.87</v>
      </c>
      <c r="D885">
        <v>0</v>
      </c>
      <c r="E885">
        <v>0</v>
      </c>
      <c r="F885">
        <v>0</v>
      </c>
      <c r="G885" s="765">
        <v>5544.87</v>
      </c>
    </row>
    <row r="887" spans="1:9">
      <c r="A887">
        <v>11830</v>
      </c>
      <c r="B887" t="s">
        <v>5611</v>
      </c>
    </row>
    <row r="888" spans="1:9">
      <c r="A888" s="785">
        <v>44296</v>
      </c>
      <c r="B888" t="s">
        <v>6716</v>
      </c>
      <c r="C888">
        <v>150.5</v>
      </c>
      <c r="D888">
        <v>150.5</v>
      </c>
      <c r="E888">
        <v>150.5</v>
      </c>
      <c r="I888">
        <v>150.5</v>
      </c>
    </row>
    <row r="889" spans="1:9">
      <c r="A889" s="785">
        <v>44238</v>
      </c>
      <c r="B889" t="s">
        <v>6879</v>
      </c>
      <c r="C889">
        <v>158.82</v>
      </c>
      <c r="D889">
        <v>158.82</v>
      </c>
      <c r="E889">
        <v>309.32</v>
      </c>
      <c r="I889">
        <v>158.82</v>
      </c>
    </row>
    <row r="890" spans="1:9">
      <c r="A890" s="785">
        <v>44239</v>
      </c>
      <c r="B890" t="s">
        <v>7173</v>
      </c>
      <c r="C890">
        <v>147.72</v>
      </c>
      <c r="D890">
        <v>147.72</v>
      </c>
      <c r="E890">
        <v>457.04</v>
      </c>
      <c r="H890">
        <v>147.72</v>
      </c>
    </row>
    <row r="892" spans="1:9">
      <c r="A892" t="s">
        <v>4138</v>
      </c>
      <c r="B892">
        <v>457.04</v>
      </c>
      <c r="C892">
        <v>457.04</v>
      </c>
      <c r="D892">
        <v>0</v>
      </c>
      <c r="E892">
        <v>0</v>
      </c>
      <c r="F892">
        <v>147.72</v>
      </c>
      <c r="G892">
        <v>309.32</v>
      </c>
    </row>
    <row r="894" spans="1:9">
      <c r="A894">
        <v>11835</v>
      </c>
      <c r="B894" t="s">
        <v>6849</v>
      </c>
    </row>
    <row r="895" spans="1:9">
      <c r="A895" s="785">
        <v>44239</v>
      </c>
      <c r="B895" t="s">
        <v>7174</v>
      </c>
      <c r="C895" s="765">
        <v>1942.56</v>
      </c>
      <c r="D895" s="765">
        <v>1942.56</v>
      </c>
      <c r="E895" s="765">
        <v>1942.56</v>
      </c>
      <c r="H895" s="765">
        <v>1942.56</v>
      </c>
    </row>
    <row r="897" spans="1:9">
      <c r="A897" t="s">
        <v>4138</v>
      </c>
      <c r="B897" s="765">
        <v>1942.56</v>
      </c>
      <c r="C897" s="765">
        <v>1942.56</v>
      </c>
      <c r="D897">
        <v>0</v>
      </c>
      <c r="E897">
        <v>0</v>
      </c>
      <c r="F897" s="765">
        <v>1942.56</v>
      </c>
      <c r="G897">
        <v>0</v>
      </c>
    </row>
    <row r="899" spans="1:9">
      <c r="A899">
        <v>11836</v>
      </c>
      <c r="B899" t="s">
        <v>2878</v>
      </c>
    </row>
    <row r="900" spans="1:9">
      <c r="A900" s="785">
        <v>43383</v>
      </c>
      <c r="B900" t="s">
        <v>4454</v>
      </c>
      <c r="C900">
        <v>237.43</v>
      </c>
      <c r="D900">
        <v>237.43</v>
      </c>
      <c r="E900">
        <v>237.43</v>
      </c>
      <c r="I900">
        <v>237.43</v>
      </c>
    </row>
    <row r="901" spans="1:9">
      <c r="A901" s="785">
        <v>43531</v>
      </c>
      <c r="B901" t="s">
        <v>4455</v>
      </c>
      <c r="C901">
        <v>503.28</v>
      </c>
      <c r="D901">
        <v>503.28</v>
      </c>
      <c r="E901">
        <v>740.71</v>
      </c>
      <c r="I901">
        <v>503.28</v>
      </c>
    </row>
    <row r="902" spans="1:9">
      <c r="A902" s="785">
        <v>43836</v>
      </c>
      <c r="B902" t="s">
        <v>4456</v>
      </c>
      <c r="C902">
        <v>415.21</v>
      </c>
      <c r="D902">
        <v>415.21</v>
      </c>
      <c r="E902" s="765">
        <v>1155.92</v>
      </c>
      <c r="I902">
        <v>415.21</v>
      </c>
    </row>
    <row r="904" spans="1:9">
      <c r="A904" t="s">
        <v>4138</v>
      </c>
      <c r="B904" s="765">
        <v>1155.92</v>
      </c>
      <c r="C904" s="765">
        <v>1155.92</v>
      </c>
      <c r="D904">
        <v>0</v>
      </c>
      <c r="E904">
        <v>0</v>
      </c>
      <c r="F904">
        <v>0</v>
      </c>
      <c r="G904" s="765">
        <v>1155.92</v>
      </c>
    </row>
    <row r="906" spans="1:9">
      <c r="A906">
        <v>11846</v>
      </c>
      <c r="B906" t="s">
        <v>2100</v>
      </c>
    </row>
    <row r="907" spans="1:9">
      <c r="A907" s="785">
        <v>44238</v>
      </c>
      <c r="B907" t="s">
        <v>6880</v>
      </c>
      <c r="C907" s="765">
        <v>14612.59</v>
      </c>
      <c r="D907" s="765">
        <v>14612.59</v>
      </c>
      <c r="E907" s="765">
        <v>14612.59</v>
      </c>
      <c r="I907" s="765">
        <v>14612.59</v>
      </c>
    </row>
    <row r="908" spans="1:9">
      <c r="A908" s="785">
        <v>44239</v>
      </c>
      <c r="B908" t="s">
        <v>7175</v>
      </c>
      <c r="C908" s="765">
        <v>14262.59</v>
      </c>
      <c r="D908" s="765">
        <v>14262.59</v>
      </c>
      <c r="E908" s="765">
        <v>28875.18</v>
      </c>
      <c r="H908" s="765">
        <v>14262.59</v>
      </c>
    </row>
    <row r="910" spans="1:9">
      <c r="A910" t="s">
        <v>4138</v>
      </c>
      <c r="B910" s="765">
        <v>28875.18</v>
      </c>
      <c r="C910" s="765">
        <v>28875.18</v>
      </c>
      <c r="D910">
        <v>0</v>
      </c>
      <c r="E910">
        <v>0</v>
      </c>
      <c r="F910" s="765">
        <v>14262.59</v>
      </c>
      <c r="G910" s="765">
        <v>14612.59</v>
      </c>
    </row>
    <row r="912" spans="1:9">
      <c r="A912">
        <v>11855</v>
      </c>
      <c r="B912" t="s">
        <v>4457</v>
      </c>
    </row>
    <row r="913" spans="1:9">
      <c r="A913" s="785">
        <v>43322</v>
      </c>
      <c r="B913" t="s">
        <v>4458</v>
      </c>
      <c r="C913">
        <v>681.72</v>
      </c>
      <c r="D913">
        <v>681.72</v>
      </c>
      <c r="E913">
        <v>681.72</v>
      </c>
      <c r="I913">
        <v>681.72</v>
      </c>
    </row>
    <row r="914" spans="1:9">
      <c r="A914" s="785">
        <v>43836</v>
      </c>
      <c r="B914" t="s">
        <v>4459</v>
      </c>
      <c r="C914">
        <v>988.79</v>
      </c>
      <c r="D914">
        <v>15.85</v>
      </c>
      <c r="E914">
        <v>697.57</v>
      </c>
      <c r="I914">
        <v>15.85</v>
      </c>
    </row>
    <row r="916" spans="1:9">
      <c r="A916" t="s">
        <v>4138</v>
      </c>
      <c r="B916" s="765">
        <v>1670.51</v>
      </c>
      <c r="C916">
        <v>697.57</v>
      </c>
      <c r="D916">
        <v>0</v>
      </c>
      <c r="E916">
        <v>0</v>
      </c>
      <c r="F916">
        <v>0</v>
      </c>
      <c r="G916">
        <v>697.57</v>
      </c>
    </row>
    <row r="918" spans="1:9">
      <c r="A918">
        <v>11865</v>
      </c>
      <c r="B918" t="s">
        <v>6881</v>
      </c>
    </row>
    <row r="919" spans="1:9">
      <c r="A919" s="785">
        <v>44238</v>
      </c>
      <c r="B919" t="s">
        <v>6882</v>
      </c>
      <c r="C919">
        <v>759.48</v>
      </c>
      <c r="D919">
        <v>759.48</v>
      </c>
      <c r="E919">
        <v>759.48</v>
      </c>
      <c r="I919">
        <v>759.48</v>
      </c>
    </row>
    <row r="921" spans="1:9">
      <c r="A921" t="s">
        <v>4138</v>
      </c>
      <c r="B921">
        <v>759.48</v>
      </c>
      <c r="C921">
        <v>759.48</v>
      </c>
      <c r="D921">
        <v>0</v>
      </c>
      <c r="E921">
        <v>0</v>
      </c>
      <c r="F921">
        <v>0</v>
      </c>
      <c r="G921">
        <v>759.48</v>
      </c>
    </row>
    <row r="923" spans="1:9">
      <c r="A923">
        <v>11867</v>
      </c>
      <c r="B923" t="s">
        <v>1198</v>
      </c>
    </row>
    <row r="924" spans="1:9">
      <c r="A924" s="785">
        <v>43232</v>
      </c>
      <c r="B924" t="s">
        <v>4460</v>
      </c>
      <c r="C924">
        <v>60.05</v>
      </c>
      <c r="D924">
        <v>60.05</v>
      </c>
      <c r="E924">
        <v>60.05</v>
      </c>
      <c r="I924">
        <v>60.05</v>
      </c>
    </row>
    <row r="925" spans="1:9">
      <c r="A925" s="785">
        <v>43232</v>
      </c>
      <c r="B925" t="s">
        <v>4461</v>
      </c>
      <c r="C925" s="765">
        <v>1534.71</v>
      </c>
      <c r="D925" s="765">
        <v>1534.71</v>
      </c>
      <c r="E925" s="765">
        <v>1594.76</v>
      </c>
      <c r="I925" s="765">
        <v>1534.71</v>
      </c>
    </row>
    <row r="926" spans="1:9">
      <c r="A926" s="785">
        <v>43232</v>
      </c>
      <c r="B926" t="s">
        <v>4462</v>
      </c>
      <c r="C926" s="765">
        <v>1999.86</v>
      </c>
      <c r="D926" s="765">
        <v>1999.86</v>
      </c>
      <c r="E926" s="765">
        <v>3594.62</v>
      </c>
      <c r="I926" s="765">
        <v>1999.86</v>
      </c>
    </row>
    <row r="927" spans="1:9">
      <c r="A927" s="785">
        <v>43232</v>
      </c>
      <c r="B927" t="s">
        <v>4463</v>
      </c>
      <c r="C927" s="765">
        <v>2412.75</v>
      </c>
      <c r="D927" s="765">
        <v>2412.75</v>
      </c>
      <c r="E927" s="765">
        <v>6007.37</v>
      </c>
      <c r="I927" s="765">
        <v>2412.75</v>
      </c>
    </row>
    <row r="928" spans="1:9">
      <c r="A928" s="785">
        <v>43232</v>
      </c>
      <c r="B928" t="s">
        <v>4464</v>
      </c>
      <c r="C928">
        <v>157.74</v>
      </c>
      <c r="D928">
        <v>157.74</v>
      </c>
      <c r="E928" s="765">
        <v>6165.11</v>
      </c>
      <c r="I928">
        <v>157.74</v>
      </c>
    </row>
    <row r="929" spans="1:9">
      <c r="A929" s="785">
        <v>43232</v>
      </c>
      <c r="B929" t="s">
        <v>4465</v>
      </c>
      <c r="C929" s="765">
        <v>1659.61</v>
      </c>
      <c r="D929" s="765">
        <v>1659.61</v>
      </c>
      <c r="E929" s="765">
        <v>7824.72</v>
      </c>
      <c r="I929" s="765">
        <v>1659.61</v>
      </c>
    </row>
    <row r="930" spans="1:9">
      <c r="A930" s="785">
        <v>43232</v>
      </c>
      <c r="B930" t="s">
        <v>4466</v>
      </c>
      <c r="C930">
        <v>62.45</v>
      </c>
      <c r="D930">
        <v>62.45</v>
      </c>
      <c r="E930" s="765">
        <v>7887.17</v>
      </c>
      <c r="I930">
        <v>62.45</v>
      </c>
    </row>
    <row r="931" spans="1:9">
      <c r="A931" s="785">
        <v>43627</v>
      </c>
      <c r="B931" t="s">
        <v>4467</v>
      </c>
      <c r="C931" s="765">
        <v>2869.47</v>
      </c>
      <c r="D931" s="765">
        <v>2869.47</v>
      </c>
      <c r="E931" s="765">
        <v>10756.64</v>
      </c>
      <c r="I931" s="765">
        <v>2869.47</v>
      </c>
    </row>
    <row r="932" spans="1:9">
      <c r="A932" s="785">
        <v>43477</v>
      </c>
      <c r="B932" t="s">
        <v>4468</v>
      </c>
      <c r="C932" s="765">
        <v>2909.02</v>
      </c>
      <c r="D932" s="765">
        <v>2909.02</v>
      </c>
      <c r="E932" s="765">
        <v>13665.66</v>
      </c>
      <c r="I932" s="765">
        <v>2909.02</v>
      </c>
    </row>
    <row r="933" spans="1:9">
      <c r="A933" t="s">
        <v>4469</v>
      </c>
      <c r="B933" t="s">
        <v>4470</v>
      </c>
      <c r="C933" s="765">
        <v>3637.69</v>
      </c>
      <c r="D933" s="765">
        <v>3637.69</v>
      </c>
      <c r="E933" s="765">
        <v>17303.349999999999</v>
      </c>
      <c r="I933" s="765">
        <v>3637.69</v>
      </c>
    </row>
    <row r="934" spans="1:9">
      <c r="A934" s="785">
        <v>43953</v>
      </c>
      <c r="B934" t="s">
        <v>4471</v>
      </c>
      <c r="C934" s="765">
        <v>4495.38</v>
      </c>
      <c r="D934" s="765">
        <v>4495.38</v>
      </c>
      <c r="E934" s="765">
        <v>21798.73</v>
      </c>
      <c r="I934" s="765">
        <v>4495.38</v>
      </c>
    </row>
    <row r="935" spans="1:9">
      <c r="A935" t="s">
        <v>4162</v>
      </c>
      <c r="B935" t="s">
        <v>4472</v>
      </c>
      <c r="C935" s="765">
        <v>4298.34</v>
      </c>
      <c r="D935" s="765">
        <v>4298.34</v>
      </c>
      <c r="E935" s="765">
        <v>26097.07</v>
      </c>
      <c r="I935" s="765">
        <v>4298.34</v>
      </c>
    </row>
    <row r="936" spans="1:9">
      <c r="A936" t="s">
        <v>4314</v>
      </c>
      <c r="B936" t="s">
        <v>4473</v>
      </c>
      <c r="C936" s="765">
        <v>2811.9</v>
      </c>
      <c r="D936" s="765">
        <v>2811.9</v>
      </c>
      <c r="E936" s="765">
        <v>28908.97</v>
      </c>
      <c r="I936" s="765">
        <v>2811.9</v>
      </c>
    </row>
    <row r="937" spans="1:9">
      <c r="A937" t="s">
        <v>4314</v>
      </c>
      <c r="B937" t="s">
        <v>4474</v>
      </c>
      <c r="C937" s="765">
        <v>4220.96</v>
      </c>
      <c r="D937" s="765">
        <v>4220.96</v>
      </c>
      <c r="E937" s="765">
        <v>33129.93</v>
      </c>
      <c r="I937" s="765">
        <v>4220.96</v>
      </c>
    </row>
    <row r="938" spans="1:9">
      <c r="A938" s="785">
        <v>43989</v>
      </c>
      <c r="B938" t="s">
        <v>4475</v>
      </c>
      <c r="C938" s="765">
        <v>2790.75</v>
      </c>
      <c r="D938" s="765">
        <v>2790.75</v>
      </c>
      <c r="E938" s="765">
        <v>35920.68</v>
      </c>
      <c r="I938" s="765">
        <v>2790.75</v>
      </c>
    </row>
    <row r="939" spans="1:9">
      <c r="A939" s="785">
        <v>43930</v>
      </c>
      <c r="B939" t="s">
        <v>5239</v>
      </c>
      <c r="C939" s="765">
        <v>2782.83</v>
      </c>
      <c r="D939" s="765">
        <v>2782.83</v>
      </c>
      <c r="E939" s="765">
        <v>38703.51</v>
      </c>
      <c r="I939" s="765">
        <v>2782.83</v>
      </c>
    </row>
    <row r="941" spans="1:9">
      <c r="A941" t="s">
        <v>4138</v>
      </c>
      <c r="B941" s="765">
        <v>38703.51</v>
      </c>
      <c r="C941" s="765">
        <v>38703.51</v>
      </c>
      <c r="D941">
        <v>0</v>
      </c>
      <c r="E941">
        <v>0</v>
      </c>
      <c r="F941">
        <v>0</v>
      </c>
      <c r="G941" s="765">
        <v>38703.51</v>
      </c>
    </row>
    <row r="943" spans="1:9">
      <c r="A943">
        <v>11870</v>
      </c>
      <c r="B943" t="s">
        <v>4476</v>
      </c>
    </row>
    <row r="944" spans="1:9">
      <c r="A944" s="785">
        <v>43476</v>
      </c>
      <c r="B944" t="s">
        <v>4477</v>
      </c>
      <c r="C944" s="765">
        <v>7829.29</v>
      </c>
      <c r="D944" s="765">
        <v>7829.29</v>
      </c>
      <c r="E944" s="765">
        <v>7829.29</v>
      </c>
      <c r="I944" s="765">
        <v>7829.29</v>
      </c>
    </row>
    <row r="945" spans="1:9">
      <c r="A945" s="785">
        <v>43477</v>
      </c>
      <c r="B945" t="s">
        <v>4478</v>
      </c>
      <c r="C945" s="765">
        <v>7577.65</v>
      </c>
      <c r="D945" s="765">
        <v>7577.65</v>
      </c>
      <c r="E945" s="765">
        <v>15406.94</v>
      </c>
      <c r="I945" s="765">
        <v>7577.65</v>
      </c>
    </row>
    <row r="946" spans="1:9">
      <c r="A946" s="785">
        <v>44044</v>
      </c>
      <c r="B946" t="s">
        <v>4479</v>
      </c>
      <c r="C946" s="765">
        <v>9662.66</v>
      </c>
      <c r="D946" s="765">
        <v>9662.66</v>
      </c>
      <c r="E946" s="765">
        <v>25069.599999999999</v>
      </c>
      <c r="I946" s="765">
        <v>9662.66</v>
      </c>
    </row>
    <row r="948" spans="1:9">
      <c r="A948" t="s">
        <v>4138</v>
      </c>
      <c r="B948" s="765">
        <v>25069.599999999999</v>
      </c>
      <c r="C948" s="765">
        <v>25069.599999999999</v>
      </c>
      <c r="D948">
        <v>0</v>
      </c>
      <c r="E948">
        <v>0</v>
      </c>
      <c r="F948">
        <v>0</v>
      </c>
      <c r="G948" s="765">
        <v>25069.599999999999</v>
      </c>
    </row>
    <row r="950" spans="1:9">
      <c r="A950">
        <v>11879</v>
      </c>
      <c r="B950" t="s">
        <v>7176</v>
      </c>
    </row>
    <row r="951" spans="1:9">
      <c r="A951" s="785">
        <v>44239</v>
      </c>
      <c r="B951" t="s">
        <v>7177</v>
      </c>
      <c r="C951" s="765">
        <v>4304.34</v>
      </c>
      <c r="D951" s="765">
        <v>4304.34</v>
      </c>
      <c r="E951" s="765">
        <v>4304.34</v>
      </c>
      <c r="H951" s="765">
        <v>4304.34</v>
      </c>
    </row>
    <row r="953" spans="1:9">
      <c r="A953" t="s">
        <v>4138</v>
      </c>
      <c r="B953" s="765">
        <v>4304.34</v>
      </c>
      <c r="C953" s="765">
        <v>4304.34</v>
      </c>
      <c r="D953">
        <v>0</v>
      </c>
      <c r="E953">
        <v>0</v>
      </c>
      <c r="F953" s="765">
        <v>4304.34</v>
      </c>
      <c r="G953">
        <v>0</v>
      </c>
    </row>
    <row r="955" spans="1:9">
      <c r="A955">
        <v>11888</v>
      </c>
      <c r="B955" t="s">
        <v>1705</v>
      </c>
    </row>
    <row r="956" spans="1:9">
      <c r="A956" s="785">
        <v>44296</v>
      </c>
      <c r="B956" t="s">
        <v>6717</v>
      </c>
      <c r="C956" s="765">
        <v>3237.32</v>
      </c>
      <c r="D956" s="765">
        <v>3237.32</v>
      </c>
      <c r="E956" s="765">
        <v>3237.32</v>
      </c>
      <c r="I956" s="765">
        <v>3237.32</v>
      </c>
    </row>
    <row r="957" spans="1:9">
      <c r="A957" s="785">
        <v>44238</v>
      </c>
      <c r="B957" t="s">
        <v>6883</v>
      </c>
      <c r="C957" s="765">
        <v>3307.87</v>
      </c>
      <c r="D957" s="765">
        <v>3307.87</v>
      </c>
      <c r="E957" s="765">
        <v>6545.19</v>
      </c>
      <c r="I957" s="765">
        <v>3307.87</v>
      </c>
    </row>
    <row r="958" spans="1:9">
      <c r="A958" s="785">
        <v>44239</v>
      </c>
      <c r="B958" t="s">
        <v>7178</v>
      </c>
      <c r="C958" s="765">
        <v>3439.87</v>
      </c>
      <c r="D958" s="765">
        <v>3439.87</v>
      </c>
      <c r="E958" s="765">
        <v>9985.06</v>
      </c>
      <c r="H958" s="765">
        <v>3439.87</v>
      </c>
    </row>
    <row r="960" spans="1:9">
      <c r="A960" t="s">
        <v>4138</v>
      </c>
      <c r="B960" s="765">
        <v>9985.06</v>
      </c>
      <c r="C960" s="765">
        <v>9985.06</v>
      </c>
      <c r="D960">
        <v>0</v>
      </c>
      <c r="E960">
        <v>0</v>
      </c>
      <c r="F960" s="765">
        <v>3439.87</v>
      </c>
      <c r="G960" s="765">
        <v>6545.19</v>
      </c>
    </row>
    <row r="962" spans="1:9">
      <c r="A962">
        <v>11898</v>
      </c>
      <c r="B962" t="s">
        <v>3407</v>
      </c>
    </row>
    <row r="963" spans="1:9">
      <c r="A963" s="785">
        <v>43840</v>
      </c>
      <c r="B963" t="s">
        <v>5283</v>
      </c>
      <c r="C963" s="765">
        <v>4437.51</v>
      </c>
      <c r="D963" s="765">
        <v>4437.51</v>
      </c>
      <c r="E963" s="765">
        <v>4437.51</v>
      </c>
      <c r="I963" s="765">
        <v>4437.51</v>
      </c>
    </row>
    <row r="965" spans="1:9">
      <c r="A965" t="s">
        <v>4138</v>
      </c>
      <c r="B965" s="765">
        <v>4437.51</v>
      </c>
      <c r="C965" s="765">
        <v>4437.51</v>
      </c>
      <c r="D965">
        <v>0</v>
      </c>
      <c r="E965">
        <v>0</v>
      </c>
      <c r="F965">
        <v>0</v>
      </c>
      <c r="G965" s="765">
        <v>4437.51</v>
      </c>
    </row>
    <row r="967" spans="1:9">
      <c r="A967">
        <v>11905</v>
      </c>
      <c r="B967" t="s">
        <v>3408</v>
      </c>
    </row>
    <row r="968" spans="1:9">
      <c r="A968" s="785">
        <v>43232</v>
      </c>
      <c r="B968" t="s">
        <v>4480</v>
      </c>
      <c r="C968" s="765">
        <v>1177.0999999999999</v>
      </c>
      <c r="D968" s="765">
        <v>1177.0999999999999</v>
      </c>
      <c r="E968" s="765">
        <v>1177.0999999999999</v>
      </c>
      <c r="I968" s="765">
        <v>1177.0999999999999</v>
      </c>
    </row>
    <row r="969" spans="1:9">
      <c r="A969" s="785">
        <v>44207</v>
      </c>
      <c r="B969" t="s">
        <v>7179</v>
      </c>
      <c r="C969" s="765">
        <v>5218.3599999999997</v>
      </c>
      <c r="D969">
        <v>423.66</v>
      </c>
      <c r="E969" s="765">
        <v>1600.76</v>
      </c>
      <c r="I969">
        <v>423.66</v>
      </c>
    </row>
    <row r="971" spans="1:9">
      <c r="A971" t="s">
        <v>4138</v>
      </c>
      <c r="B971" s="765">
        <v>6395.46</v>
      </c>
      <c r="C971" s="765">
        <v>1600.76</v>
      </c>
      <c r="D971">
        <v>0</v>
      </c>
      <c r="E971">
        <v>0</v>
      </c>
      <c r="F971">
        <v>0</v>
      </c>
      <c r="G971" s="765">
        <v>1600.76</v>
      </c>
    </row>
    <row r="973" spans="1:9">
      <c r="A973">
        <v>11908</v>
      </c>
      <c r="B973" t="s">
        <v>7180</v>
      </c>
    </row>
    <row r="974" spans="1:9">
      <c r="A974" s="785">
        <v>44239</v>
      </c>
      <c r="B974" t="s">
        <v>7181</v>
      </c>
      <c r="C974" s="765">
        <v>2750.3</v>
      </c>
      <c r="D974" s="765">
        <v>2750.3</v>
      </c>
      <c r="E974" s="765">
        <v>2750.3</v>
      </c>
      <c r="H974" s="765">
        <v>2750.3</v>
      </c>
    </row>
    <row r="976" spans="1:9">
      <c r="A976" t="s">
        <v>4138</v>
      </c>
      <c r="B976" s="765">
        <v>2750.3</v>
      </c>
      <c r="C976" s="765">
        <v>2750.3</v>
      </c>
      <c r="D976">
        <v>0</v>
      </c>
      <c r="E976">
        <v>0</v>
      </c>
      <c r="F976" s="765">
        <v>2750.3</v>
      </c>
      <c r="G976">
        <v>0</v>
      </c>
    </row>
    <row r="978" spans="1:9">
      <c r="A978">
        <v>11909</v>
      </c>
      <c r="B978" t="s">
        <v>2125</v>
      </c>
    </row>
    <row r="979" spans="1:9">
      <c r="A979" s="785">
        <v>44296</v>
      </c>
      <c r="B979" t="s">
        <v>6718</v>
      </c>
      <c r="C979" s="765">
        <v>10022.67</v>
      </c>
      <c r="D979" s="765">
        <v>10022.67</v>
      </c>
      <c r="E979" s="765">
        <v>10022.67</v>
      </c>
      <c r="I979" s="765">
        <v>10022.67</v>
      </c>
    </row>
    <row r="980" spans="1:9">
      <c r="A980" s="785">
        <v>44238</v>
      </c>
      <c r="B980" t="s">
        <v>6884</v>
      </c>
      <c r="C980" s="765">
        <v>6891.33</v>
      </c>
      <c r="D980" s="765">
        <v>6891.33</v>
      </c>
      <c r="E980" s="765">
        <v>16914</v>
      </c>
      <c r="I980" s="765">
        <v>6891.33</v>
      </c>
    </row>
    <row r="981" spans="1:9">
      <c r="A981" s="785">
        <v>44239</v>
      </c>
      <c r="B981" t="s">
        <v>7182</v>
      </c>
      <c r="C981" s="765">
        <v>7248.07</v>
      </c>
      <c r="D981" s="765">
        <v>7248.07</v>
      </c>
      <c r="E981" s="765">
        <v>24162.07</v>
      </c>
      <c r="H981" s="765">
        <v>7248.07</v>
      </c>
    </row>
    <row r="983" spans="1:9">
      <c r="A983" t="s">
        <v>4138</v>
      </c>
      <c r="B983" s="765">
        <v>24162.07</v>
      </c>
      <c r="C983" s="765">
        <v>24162.07</v>
      </c>
      <c r="D983">
        <v>0</v>
      </c>
      <c r="E983">
        <v>0</v>
      </c>
      <c r="F983" s="765">
        <v>7248.07</v>
      </c>
      <c r="G983" s="765">
        <v>16914</v>
      </c>
    </row>
    <row r="985" spans="1:9">
      <c r="A985">
        <v>11921</v>
      </c>
      <c r="B985" t="s">
        <v>3409</v>
      </c>
    </row>
    <row r="986" spans="1:9">
      <c r="A986" s="785">
        <v>43322</v>
      </c>
      <c r="B986" t="s">
        <v>4481</v>
      </c>
      <c r="C986" s="765">
        <v>2883.35</v>
      </c>
      <c r="D986" s="765">
        <v>2883.35</v>
      </c>
      <c r="E986" s="765">
        <v>2883.35</v>
      </c>
      <c r="I986" s="765">
        <v>2883.35</v>
      </c>
    </row>
    <row r="987" spans="1:9">
      <c r="A987" s="785">
        <v>44238</v>
      </c>
      <c r="B987" t="s">
        <v>6885</v>
      </c>
      <c r="C987" s="765">
        <v>4738.18</v>
      </c>
      <c r="D987" s="765">
        <v>4738.18</v>
      </c>
      <c r="E987" s="765">
        <v>7621.53</v>
      </c>
      <c r="I987" s="765">
        <v>4738.18</v>
      </c>
    </row>
    <row r="988" spans="1:9">
      <c r="A988" s="785">
        <v>44239</v>
      </c>
      <c r="B988" t="s">
        <v>7183</v>
      </c>
      <c r="C988" s="765">
        <v>4708.8500000000004</v>
      </c>
      <c r="D988" s="765">
        <v>4708.8500000000004</v>
      </c>
      <c r="E988" s="765">
        <v>12330.38</v>
      </c>
      <c r="H988" s="765">
        <v>4708.8500000000004</v>
      </c>
    </row>
    <row r="990" spans="1:9">
      <c r="A990" t="s">
        <v>4138</v>
      </c>
      <c r="B990" s="765">
        <v>12330.38</v>
      </c>
      <c r="C990" s="765">
        <v>12330.38</v>
      </c>
      <c r="D990">
        <v>0</v>
      </c>
      <c r="E990">
        <v>0</v>
      </c>
      <c r="F990" s="765">
        <v>4708.8500000000004</v>
      </c>
      <c r="G990" s="765">
        <v>7621.53</v>
      </c>
    </row>
    <row r="992" spans="1:9">
      <c r="A992">
        <v>11925</v>
      </c>
      <c r="B992" t="s">
        <v>6886</v>
      </c>
    </row>
    <row r="993" spans="1:9">
      <c r="A993" s="785">
        <v>44238</v>
      </c>
      <c r="B993" t="s">
        <v>6887</v>
      </c>
      <c r="C993" s="765">
        <v>1073.3900000000001</v>
      </c>
      <c r="D993" s="765">
        <v>1073.3900000000001</v>
      </c>
      <c r="E993" s="765">
        <v>1073.3900000000001</v>
      </c>
      <c r="I993" s="765">
        <v>1073.3900000000001</v>
      </c>
    </row>
    <row r="995" spans="1:9">
      <c r="A995" t="s">
        <v>4138</v>
      </c>
      <c r="B995" s="765">
        <v>1073.3900000000001</v>
      </c>
      <c r="C995" s="765">
        <v>1073.3900000000001</v>
      </c>
      <c r="D995">
        <v>0</v>
      </c>
      <c r="E995">
        <v>0</v>
      </c>
      <c r="F995">
        <v>0</v>
      </c>
      <c r="G995" s="765">
        <v>1073.3900000000001</v>
      </c>
    </row>
    <row r="997" spans="1:9">
      <c r="A997">
        <v>11928</v>
      </c>
      <c r="B997" t="s">
        <v>1801</v>
      </c>
    </row>
    <row r="998" spans="1:9">
      <c r="A998" s="785">
        <v>43989</v>
      </c>
      <c r="B998" t="s">
        <v>4482</v>
      </c>
      <c r="C998">
        <v>649.9</v>
      </c>
      <c r="D998">
        <v>649.9</v>
      </c>
      <c r="E998">
        <v>649.9</v>
      </c>
      <c r="I998">
        <v>649.9</v>
      </c>
    </row>
    <row r="1000" spans="1:9">
      <c r="A1000" t="s">
        <v>4138</v>
      </c>
      <c r="B1000">
        <v>649.9</v>
      </c>
      <c r="C1000">
        <v>649.9</v>
      </c>
      <c r="D1000">
        <v>0</v>
      </c>
      <c r="E1000">
        <v>0</v>
      </c>
      <c r="F1000">
        <v>0</v>
      </c>
      <c r="G1000">
        <v>649.9</v>
      </c>
    </row>
    <row r="1002" spans="1:9">
      <c r="A1002">
        <v>11937</v>
      </c>
      <c r="B1002" t="s">
        <v>3410</v>
      </c>
    </row>
    <row r="1003" spans="1:9">
      <c r="A1003" t="s">
        <v>7149</v>
      </c>
      <c r="B1003" t="s">
        <v>7184</v>
      </c>
      <c r="C1003" s="765">
        <v>124394.39</v>
      </c>
      <c r="D1003" s="765">
        <v>124394.39</v>
      </c>
      <c r="E1003" s="765">
        <v>124394.39</v>
      </c>
      <c r="G1003" s="765">
        <v>124394.39</v>
      </c>
    </row>
    <row r="1005" spans="1:9">
      <c r="A1005" t="s">
        <v>4138</v>
      </c>
      <c r="B1005" s="765">
        <v>124394.39</v>
      </c>
      <c r="C1005" s="765">
        <v>124394.39</v>
      </c>
      <c r="D1005">
        <v>0</v>
      </c>
      <c r="E1005" s="765">
        <v>124394.39</v>
      </c>
      <c r="F1005">
        <v>0</v>
      </c>
      <c r="G1005">
        <v>0</v>
      </c>
    </row>
    <row r="1007" spans="1:9">
      <c r="A1007">
        <v>11942</v>
      </c>
      <c r="B1007" t="s">
        <v>6391</v>
      </c>
    </row>
    <row r="1008" spans="1:9">
      <c r="A1008" s="785">
        <v>44537</v>
      </c>
      <c r="B1008" t="s">
        <v>6392</v>
      </c>
      <c r="C1008" s="765">
        <v>1182.21</v>
      </c>
      <c r="D1008" s="765">
        <v>1182.21</v>
      </c>
      <c r="E1008" s="765">
        <v>1182.21</v>
      </c>
      <c r="I1008" s="765">
        <v>1182.21</v>
      </c>
    </row>
    <row r="1009" spans="1:9">
      <c r="A1009" s="785">
        <v>44263</v>
      </c>
      <c r="B1009" t="s">
        <v>6489</v>
      </c>
      <c r="C1009" s="765">
        <v>1154.46</v>
      </c>
      <c r="D1009" s="765">
        <v>1154.46</v>
      </c>
      <c r="E1009" s="765">
        <v>2336.67</v>
      </c>
      <c r="I1009" s="765">
        <v>1154.46</v>
      </c>
    </row>
    <row r="1010" spans="1:9">
      <c r="A1010" t="s">
        <v>6598</v>
      </c>
      <c r="B1010" t="s">
        <v>6599</v>
      </c>
      <c r="C1010" s="765">
        <v>1154.46</v>
      </c>
      <c r="D1010" s="765">
        <v>1154.46</v>
      </c>
      <c r="E1010" s="765">
        <v>3491.13</v>
      </c>
      <c r="I1010" s="765">
        <v>1154.46</v>
      </c>
    </row>
    <row r="1011" spans="1:9">
      <c r="A1011" s="785">
        <v>44296</v>
      </c>
      <c r="B1011" t="s">
        <v>6719</v>
      </c>
      <c r="C1011" s="765">
        <v>1154.46</v>
      </c>
      <c r="D1011" s="765">
        <v>1154.46</v>
      </c>
      <c r="E1011" s="765">
        <v>4645.59</v>
      </c>
      <c r="I1011" s="765">
        <v>1154.46</v>
      </c>
    </row>
    <row r="1012" spans="1:9">
      <c r="A1012" s="785">
        <v>44238</v>
      </c>
      <c r="B1012" t="s">
        <v>6888</v>
      </c>
      <c r="C1012" s="765">
        <v>1154.46</v>
      </c>
      <c r="D1012" s="765">
        <v>1154.46</v>
      </c>
      <c r="E1012" s="765">
        <v>5800.05</v>
      </c>
      <c r="I1012" s="765">
        <v>1154.46</v>
      </c>
    </row>
    <row r="1013" spans="1:9">
      <c r="A1013" s="785">
        <v>44239</v>
      </c>
      <c r="B1013" t="s">
        <v>7185</v>
      </c>
      <c r="C1013" s="765">
        <v>1154.46</v>
      </c>
      <c r="D1013" s="765">
        <v>1154.46</v>
      </c>
      <c r="E1013" s="765">
        <v>6954.51</v>
      </c>
      <c r="H1013" s="765">
        <v>1154.46</v>
      </c>
    </row>
    <row r="1015" spans="1:9">
      <c r="A1015" t="s">
        <v>4138</v>
      </c>
      <c r="B1015" s="765">
        <v>6954.51</v>
      </c>
      <c r="C1015" s="765">
        <v>6954.51</v>
      </c>
      <c r="D1015">
        <v>0</v>
      </c>
      <c r="E1015">
        <v>0</v>
      </c>
      <c r="F1015" s="765">
        <v>1154.46</v>
      </c>
      <c r="G1015" s="765">
        <v>5800.05</v>
      </c>
    </row>
    <row r="1017" spans="1:9">
      <c r="A1017">
        <v>11943</v>
      </c>
      <c r="B1017" t="s">
        <v>5748</v>
      </c>
    </row>
    <row r="1018" spans="1:9">
      <c r="A1018" t="s">
        <v>6889</v>
      </c>
      <c r="B1018" t="s">
        <v>6890</v>
      </c>
      <c r="C1018" s="765">
        <v>1374.37</v>
      </c>
      <c r="D1018" s="765">
        <v>1374.37</v>
      </c>
      <c r="E1018" s="765">
        <v>1374.37</v>
      </c>
      <c r="H1018" s="765">
        <v>1374.37</v>
      </c>
    </row>
    <row r="1019" spans="1:9">
      <c r="A1019" t="s">
        <v>6889</v>
      </c>
      <c r="B1019" t="s">
        <v>6891</v>
      </c>
      <c r="C1019" s="765">
        <v>1374.37</v>
      </c>
      <c r="D1019" s="765">
        <v>1374.37</v>
      </c>
      <c r="E1019" s="765">
        <v>2748.74</v>
      </c>
      <c r="H1019" s="765">
        <v>1374.37</v>
      </c>
    </row>
    <row r="1020" spans="1:9">
      <c r="A1020" t="s">
        <v>6889</v>
      </c>
      <c r="B1020" t="s">
        <v>6892</v>
      </c>
      <c r="C1020" s="765">
        <v>1374.37</v>
      </c>
      <c r="D1020" s="765">
        <v>1374.37</v>
      </c>
      <c r="E1020" s="765">
        <v>4123.1099999999997</v>
      </c>
      <c r="H1020" s="765">
        <v>1374.37</v>
      </c>
    </row>
    <row r="1021" spans="1:9">
      <c r="A1021" s="785">
        <v>44208</v>
      </c>
      <c r="B1021" t="s">
        <v>7186</v>
      </c>
      <c r="C1021" s="765">
        <v>2418.89</v>
      </c>
      <c r="D1021" s="765">
        <v>2418.89</v>
      </c>
      <c r="E1021" s="765">
        <v>6542</v>
      </c>
      <c r="H1021" s="765">
        <v>2418.89</v>
      </c>
    </row>
    <row r="1022" spans="1:9">
      <c r="A1022" s="785">
        <v>44208</v>
      </c>
      <c r="B1022" t="s">
        <v>7187</v>
      </c>
      <c r="C1022" s="765">
        <v>1649.24</v>
      </c>
      <c r="D1022" s="765">
        <v>1649.24</v>
      </c>
      <c r="E1022" s="765">
        <v>8191.24</v>
      </c>
      <c r="H1022" s="765">
        <v>1649.24</v>
      </c>
    </row>
    <row r="1023" spans="1:9">
      <c r="A1023" s="785">
        <v>44208</v>
      </c>
      <c r="B1023" t="s">
        <v>7188</v>
      </c>
      <c r="C1023">
        <v>141.5</v>
      </c>
      <c r="D1023">
        <v>141.5</v>
      </c>
      <c r="E1023" s="765">
        <v>8332.74</v>
      </c>
      <c r="H1023">
        <v>141.5</v>
      </c>
    </row>
    <row r="1024" spans="1:9">
      <c r="A1024" s="785">
        <v>44208</v>
      </c>
      <c r="B1024" t="s">
        <v>7189</v>
      </c>
      <c r="C1024" s="765">
        <v>1374.37</v>
      </c>
      <c r="D1024" s="765">
        <v>1374.37</v>
      </c>
      <c r="E1024" s="765">
        <v>9707.11</v>
      </c>
      <c r="H1024" s="765">
        <v>1374.37</v>
      </c>
    </row>
    <row r="1026" spans="1:9">
      <c r="A1026" t="s">
        <v>4138</v>
      </c>
      <c r="B1026" s="765">
        <v>9707.11</v>
      </c>
      <c r="C1026" s="765">
        <v>9707.11</v>
      </c>
      <c r="D1026">
        <v>0</v>
      </c>
      <c r="E1026">
        <v>0</v>
      </c>
      <c r="F1026" s="765">
        <v>9707.11</v>
      </c>
      <c r="G1026">
        <v>0</v>
      </c>
    </row>
    <row r="1028" spans="1:9">
      <c r="A1028">
        <v>11944</v>
      </c>
      <c r="B1028" t="s">
        <v>3411</v>
      </c>
    </row>
    <row r="1029" spans="1:9">
      <c r="A1029" s="785">
        <v>43232</v>
      </c>
      <c r="B1029" t="s">
        <v>4483</v>
      </c>
      <c r="C1029" s="765">
        <v>2564.83</v>
      </c>
      <c r="D1029" s="765">
        <v>2564.83</v>
      </c>
      <c r="E1029" s="765">
        <v>2564.83</v>
      </c>
      <c r="I1029" s="765">
        <v>2564.83</v>
      </c>
    </row>
    <row r="1030" spans="1:9">
      <c r="A1030" s="785">
        <v>43232</v>
      </c>
      <c r="B1030" t="s">
        <v>4484</v>
      </c>
      <c r="C1030" s="765">
        <v>2564.83</v>
      </c>
      <c r="D1030" s="765">
        <v>2564.83</v>
      </c>
      <c r="E1030" s="765">
        <v>5129.66</v>
      </c>
      <c r="I1030" s="765">
        <v>2564.83</v>
      </c>
    </row>
    <row r="1031" spans="1:9">
      <c r="A1031" s="785">
        <v>43379</v>
      </c>
      <c r="B1031" t="s">
        <v>4485</v>
      </c>
      <c r="C1031" s="765">
        <v>2564.8200000000002</v>
      </c>
      <c r="D1031" s="765">
        <v>2564.8200000000002</v>
      </c>
      <c r="E1031" s="765">
        <v>7694.48</v>
      </c>
      <c r="I1031" s="765">
        <v>2564.8200000000002</v>
      </c>
    </row>
    <row r="1032" spans="1:9">
      <c r="A1032" s="785">
        <v>43411</v>
      </c>
      <c r="B1032" t="s">
        <v>4486</v>
      </c>
      <c r="C1032" s="765">
        <v>2564.8200000000002</v>
      </c>
      <c r="D1032" s="765">
        <v>2564.8200000000002</v>
      </c>
      <c r="E1032" s="765">
        <v>10259.299999999999</v>
      </c>
      <c r="I1032" s="765">
        <v>2564.8200000000002</v>
      </c>
    </row>
    <row r="1033" spans="1:9">
      <c r="A1033" s="785">
        <v>43259</v>
      </c>
      <c r="B1033" t="s">
        <v>4487</v>
      </c>
      <c r="C1033" s="765">
        <v>2564.83</v>
      </c>
      <c r="D1033" s="765">
        <v>2564.83</v>
      </c>
      <c r="E1033" s="765">
        <v>12824.13</v>
      </c>
      <c r="I1033" s="765">
        <v>2564.83</v>
      </c>
    </row>
    <row r="1034" spans="1:9">
      <c r="A1034" t="s">
        <v>4334</v>
      </c>
      <c r="B1034" t="s">
        <v>4488</v>
      </c>
      <c r="C1034" s="765">
        <v>2564.83</v>
      </c>
      <c r="D1034" s="765">
        <v>2564.83</v>
      </c>
      <c r="E1034" s="765">
        <v>15388.96</v>
      </c>
      <c r="I1034" s="765">
        <v>2564.83</v>
      </c>
    </row>
    <row r="1035" spans="1:9">
      <c r="A1035" s="785">
        <v>43323</v>
      </c>
      <c r="B1035" t="s">
        <v>4489</v>
      </c>
      <c r="C1035" s="765">
        <v>1846.66</v>
      </c>
      <c r="D1035" s="765">
        <v>1846.66</v>
      </c>
      <c r="E1035" s="765">
        <v>17235.62</v>
      </c>
      <c r="I1035" s="765">
        <v>1846.66</v>
      </c>
    </row>
    <row r="1036" spans="1:9">
      <c r="A1036" s="785">
        <v>43232</v>
      </c>
      <c r="B1036" t="s">
        <v>4490</v>
      </c>
      <c r="C1036" s="765">
        <v>1846.66</v>
      </c>
      <c r="D1036" s="765">
        <v>1846.66</v>
      </c>
      <c r="E1036" s="765">
        <v>19082.28</v>
      </c>
      <c r="I1036" s="765">
        <v>1846.66</v>
      </c>
    </row>
    <row r="1037" spans="1:9">
      <c r="A1037" s="785">
        <v>43770</v>
      </c>
      <c r="B1037" t="s">
        <v>4491</v>
      </c>
      <c r="C1037" s="765">
        <v>1846.66</v>
      </c>
      <c r="D1037" s="765">
        <v>1846.66</v>
      </c>
      <c r="E1037" s="765">
        <v>20928.939999999999</v>
      </c>
      <c r="I1037" s="765">
        <v>1846.66</v>
      </c>
    </row>
    <row r="1038" spans="1:9">
      <c r="A1038" s="785">
        <v>43648</v>
      </c>
      <c r="B1038" t="s">
        <v>4492</v>
      </c>
      <c r="C1038" s="765">
        <v>2028.38</v>
      </c>
      <c r="D1038" s="765">
        <v>2028.38</v>
      </c>
      <c r="E1038" s="765">
        <v>22957.32</v>
      </c>
      <c r="I1038" s="765">
        <v>2028.38</v>
      </c>
    </row>
    <row r="1039" spans="1:9">
      <c r="A1039" s="785">
        <v>43588</v>
      </c>
      <c r="B1039" t="s">
        <v>4493</v>
      </c>
      <c r="C1039" s="765">
        <v>2028.38</v>
      </c>
      <c r="D1039" s="765">
        <v>2028.38</v>
      </c>
      <c r="E1039" s="765">
        <v>24985.7</v>
      </c>
      <c r="I1039" s="765">
        <v>2028.38</v>
      </c>
    </row>
    <row r="1040" spans="1:9">
      <c r="A1040" s="785">
        <v>43559</v>
      </c>
      <c r="B1040" t="s">
        <v>4494</v>
      </c>
      <c r="C1040" s="765">
        <v>2028.38</v>
      </c>
      <c r="D1040" s="765">
        <v>2028.38</v>
      </c>
      <c r="E1040" s="765">
        <v>27014.080000000002</v>
      </c>
      <c r="I1040" s="765">
        <v>2028.38</v>
      </c>
    </row>
    <row r="1041" spans="1:9">
      <c r="A1041" s="785">
        <v>43651</v>
      </c>
      <c r="B1041" t="s">
        <v>4495</v>
      </c>
      <c r="C1041" s="765">
        <v>2028.38</v>
      </c>
      <c r="D1041" s="765">
        <v>2028.38</v>
      </c>
      <c r="E1041" s="765">
        <v>29042.46</v>
      </c>
      <c r="I1041" s="765">
        <v>2028.38</v>
      </c>
    </row>
    <row r="1042" spans="1:9">
      <c r="A1042" s="785">
        <v>43561</v>
      </c>
      <c r="B1042" t="s">
        <v>4496</v>
      </c>
      <c r="C1042" s="765">
        <v>2028.38</v>
      </c>
      <c r="D1042" s="765">
        <v>2028.38</v>
      </c>
      <c r="E1042" s="765">
        <v>31070.84</v>
      </c>
      <c r="I1042" s="765">
        <v>2028.38</v>
      </c>
    </row>
    <row r="1043" spans="1:9">
      <c r="A1043" s="785">
        <v>43531</v>
      </c>
      <c r="B1043" t="s">
        <v>4497</v>
      </c>
      <c r="C1043" s="765">
        <v>2028.38</v>
      </c>
      <c r="D1043" s="765">
        <v>2028.38</v>
      </c>
      <c r="E1043" s="765">
        <v>33099.22</v>
      </c>
      <c r="I1043" s="765">
        <v>2028.38</v>
      </c>
    </row>
    <row r="1044" spans="1:9">
      <c r="A1044" s="785">
        <v>43473</v>
      </c>
      <c r="B1044" t="s">
        <v>4498</v>
      </c>
      <c r="C1044" s="765">
        <v>2028.38</v>
      </c>
      <c r="D1044" s="765">
        <v>2028.38</v>
      </c>
      <c r="E1044" s="765">
        <v>35127.599999999999</v>
      </c>
      <c r="I1044" s="765">
        <v>2028.38</v>
      </c>
    </row>
    <row r="1045" spans="1:9">
      <c r="A1045" s="785">
        <v>43533</v>
      </c>
      <c r="B1045" t="s">
        <v>4499</v>
      </c>
      <c r="C1045" s="765">
        <v>2028.38</v>
      </c>
      <c r="D1045" s="765">
        <v>2028.38</v>
      </c>
      <c r="E1045" s="765">
        <v>37155.980000000003</v>
      </c>
      <c r="I1045" s="765">
        <v>2028.38</v>
      </c>
    </row>
    <row r="1046" spans="1:9">
      <c r="A1046" s="785">
        <v>43565</v>
      </c>
      <c r="B1046" t="s">
        <v>4500</v>
      </c>
      <c r="C1046" s="765">
        <v>2028.38</v>
      </c>
      <c r="D1046" s="765">
        <v>2028.38</v>
      </c>
      <c r="E1046" s="765">
        <v>39184.36</v>
      </c>
      <c r="I1046" s="765">
        <v>2028.38</v>
      </c>
    </row>
    <row r="1047" spans="1:9">
      <c r="A1047" s="785">
        <v>43596</v>
      </c>
      <c r="B1047" t="s">
        <v>4501</v>
      </c>
      <c r="C1047" s="765">
        <v>2028.38</v>
      </c>
      <c r="D1047" s="765">
        <v>2028.38</v>
      </c>
      <c r="E1047" s="765">
        <v>41212.74</v>
      </c>
      <c r="I1047" s="765">
        <v>2028.38</v>
      </c>
    </row>
    <row r="1048" spans="1:9">
      <c r="A1048" s="785">
        <v>43477</v>
      </c>
      <c r="B1048" t="s">
        <v>4502</v>
      </c>
      <c r="C1048" s="765">
        <v>2028.38</v>
      </c>
      <c r="D1048" s="765">
        <v>2028.38</v>
      </c>
      <c r="E1048" s="765">
        <v>43241.120000000003</v>
      </c>
      <c r="I1048" s="765">
        <v>2028.38</v>
      </c>
    </row>
    <row r="1049" spans="1:9">
      <c r="A1049" s="785">
        <v>44075</v>
      </c>
      <c r="B1049" t="s">
        <v>4503</v>
      </c>
      <c r="C1049" s="765">
        <v>2028.38</v>
      </c>
      <c r="D1049" s="765">
        <v>2028.38</v>
      </c>
      <c r="E1049" s="765">
        <v>45269.5</v>
      </c>
      <c r="I1049" s="765">
        <v>2028.38</v>
      </c>
    </row>
    <row r="1050" spans="1:9">
      <c r="A1050" s="785">
        <v>44168</v>
      </c>
      <c r="B1050" t="s">
        <v>4504</v>
      </c>
      <c r="C1050" s="765">
        <v>2375.5500000000002</v>
      </c>
      <c r="D1050" s="765">
        <v>2375.5500000000002</v>
      </c>
      <c r="E1050" s="765">
        <v>47645.05</v>
      </c>
      <c r="I1050" s="765">
        <v>2375.5500000000002</v>
      </c>
    </row>
    <row r="1051" spans="1:9">
      <c r="A1051" s="785">
        <v>44168</v>
      </c>
      <c r="B1051" t="s">
        <v>4505</v>
      </c>
      <c r="C1051" s="765">
        <v>2375.5500000000002</v>
      </c>
      <c r="D1051" s="765">
        <v>2375.5500000000002</v>
      </c>
      <c r="E1051" s="765">
        <v>50020.6</v>
      </c>
      <c r="I1051" s="765">
        <v>2375.5500000000002</v>
      </c>
    </row>
    <row r="1052" spans="1:9">
      <c r="A1052" t="s">
        <v>4506</v>
      </c>
      <c r="B1052" t="s">
        <v>4507</v>
      </c>
      <c r="C1052">
        <v>433.94</v>
      </c>
      <c r="D1052">
        <v>433.94</v>
      </c>
      <c r="E1052" s="765">
        <v>50454.54</v>
      </c>
      <c r="I1052">
        <v>433.94</v>
      </c>
    </row>
    <row r="1054" spans="1:9">
      <c r="A1054" t="s">
        <v>4138</v>
      </c>
      <c r="B1054" s="765">
        <v>50454.54</v>
      </c>
      <c r="C1054" s="765">
        <v>50454.54</v>
      </c>
      <c r="D1054">
        <v>0</v>
      </c>
      <c r="E1054">
        <v>0</v>
      </c>
      <c r="F1054">
        <v>0</v>
      </c>
      <c r="G1054" s="765">
        <v>50454.54</v>
      </c>
    </row>
    <row r="1056" spans="1:9">
      <c r="A1056">
        <v>11945</v>
      </c>
      <c r="B1056" t="s">
        <v>2873</v>
      </c>
    </row>
    <row r="1057" spans="1:9">
      <c r="A1057" s="785">
        <v>43232</v>
      </c>
      <c r="B1057" t="s">
        <v>4508</v>
      </c>
      <c r="C1057" s="765">
        <v>5854.1</v>
      </c>
      <c r="D1057" s="765">
        <v>5854.1</v>
      </c>
      <c r="E1057" s="765">
        <v>5854.1</v>
      </c>
      <c r="I1057" s="765">
        <v>5854.1</v>
      </c>
    </row>
    <row r="1058" spans="1:9">
      <c r="A1058" s="785">
        <v>43232</v>
      </c>
      <c r="B1058" t="s">
        <v>4509</v>
      </c>
      <c r="C1058" s="765">
        <v>4914.57</v>
      </c>
      <c r="D1058" s="765">
        <v>4914.57</v>
      </c>
      <c r="E1058" s="765">
        <v>10768.67</v>
      </c>
      <c r="I1058" s="765">
        <v>4914.57</v>
      </c>
    </row>
    <row r="1060" spans="1:9">
      <c r="A1060" t="s">
        <v>4138</v>
      </c>
      <c r="B1060" s="765">
        <v>10768.67</v>
      </c>
      <c r="C1060" s="765">
        <v>10768.67</v>
      </c>
      <c r="D1060">
        <v>0</v>
      </c>
      <c r="E1060">
        <v>0</v>
      </c>
      <c r="F1060">
        <v>0</v>
      </c>
      <c r="G1060" s="765">
        <v>10768.67</v>
      </c>
    </row>
    <row r="1062" spans="1:9">
      <c r="A1062">
        <v>11946</v>
      </c>
      <c r="B1062" t="s">
        <v>3412</v>
      </c>
    </row>
    <row r="1063" spans="1:9">
      <c r="A1063" t="s">
        <v>4367</v>
      </c>
      <c r="B1063" t="s">
        <v>4510</v>
      </c>
      <c r="C1063" s="765">
        <v>12277.58</v>
      </c>
      <c r="D1063" s="765">
        <v>12277.58</v>
      </c>
      <c r="E1063" s="765">
        <v>12277.58</v>
      </c>
      <c r="I1063" s="765">
        <v>12277.58</v>
      </c>
    </row>
    <row r="1064" spans="1:9">
      <c r="A1064" t="s">
        <v>4511</v>
      </c>
      <c r="B1064" t="s">
        <v>4512</v>
      </c>
      <c r="C1064" s="765">
        <v>12097.84</v>
      </c>
      <c r="D1064" s="765">
        <v>12097.84</v>
      </c>
      <c r="E1064" s="765">
        <v>24375.42</v>
      </c>
      <c r="I1064" s="765">
        <v>12097.84</v>
      </c>
    </row>
    <row r="1065" spans="1:9">
      <c r="A1065" t="s">
        <v>4301</v>
      </c>
      <c r="B1065" t="s">
        <v>4513</v>
      </c>
      <c r="C1065" s="765">
        <v>9559.5499999999993</v>
      </c>
      <c r="D1065" s="765">
        <v>9559.5499999999993</v>
      </c>
      <c r="E1065" s="765">
        <v>33934.97</v>
      </c>
      <c r="I1065" s="765">
        <v>9559.5499999999993</v>
      </c>
    </row>
    <row r="1066" spans="1:9">
      <c r="A1066" s="785">
        <v>43899</v>
      </c>
      <c r="B1066" t="s">
        <v>5240</v>
      </c>
      <c r="C1066" s="765">
        <v>7260.04</v>
      </c>
      <c r="D1066" s="765">
        <v>7260.04</v>
      </c>
      <c r="E1066" s="765">
        <v>41195.01</v>
      </c>
      <c r="I1066" s="765">
        <v>7260.04</v>
      </c>
    </row>
    <row r="1067" spans="1:9">
      <c r="A1067" s="785">
        <v>44022</v>
      </c>
      <c r="B1067" t="s">
        <v>5284</v>
      </c>
      <c r="C1067" s="765">
        <v>5892.11</v>
      </c>
      <c r="D1067" s="765">
        <v>5892.11</v>
      </c>
      <c r="E1067" s="765">
        <v>47087.12</v>
      </c>
      <c r="I1067" s="765">
        <v>5892.11</v>
      </c>
    </row>
    <row r="1068" spans="1:9">
      <c r="A1068" s="785">
        <v>43932</v>
      </c>
      <c r="B1068" t="s">
        <v>5329</v>
      </c>
      <c r="C1068" s="765">
        <v>8339.59</v>
      </c>
      <c r="D1068" s="765">
        <v>8339.59</v>
      </c>
      <c r="E1068" s="765">
        <v>55426.71</v>
      </c>
      <c r="I1068" s="765">
        <v>8339.59</v>
      </c>
    </row>
    <row r="1069" spans="1:9">
      <c r="A1069" s="785">
        <v>44289</v>
      </c>
      <c r="B1069" t="s">
        <v>5937</v>
      </c>
      <c r="C1069">
        <v>756.29</v>
      </c>
      <c r="D1069">
        <v>756.29</v>
      </c>
      <c r="E1069" s="765">
        <v>56183</v>
      </c>
      <c r="I1069">
        <v>756.29</v>
      </c>
    </row>
    <row r="1070" spans="1:9">
      <c r="A1070" s="785">
        <v>44261</v>
      </c>
      <c r="B1070" t="s">
        <v>6282</v>
      </c>
      <c r="C1070">
        <v>795.93</v>
      </c>
      <c r="D1070">
        <v>795.93</v>
      </c>
      <c r="E1070" s="765">
        <v>56978.93</v>
      </c>
      <c r="I1070">
        <v>795.93</v>
      </c>
    </row>
    <row r="1071" spans="1:9">
      <c r="A1071" s="785">
        <v>44294</v>
      </c>
      <c r="B1071" t="s">
        <v>6490</v>
      </c>
      <c r="C1071">
        <v>82.46</v>
      </c>
      <c r="D1071">
        <v>82.46</v>
      </c>
      <c r="E1071" s="765">
        <v>57061.39</v>
      </c>
      <c r="I1071">
        <v>82.46</v>
      </c>
    </row>
    <row r="1072" spans="1:9">
      <c r="A1072" s="785">
        <v>44448</v>
      </c>
      <c r="B1072" t="s">
        <v>6600</v>
      </c>
      <c r="C1072">
        <v>82.46</v>
      </c>
      <c r="D1072">
        <v>82.46</v>
      </c>
      <c r="E1072" s="765">
        <v>57143.85</v>
      </c>
      <c r="I1072">
        <v>82.46</v>
      </c>
    </row>
    <row r="1073" spans="1:9">
      <c r="A1073" s="785">
        <v>44297</v>
      </c>
      <c r="B1073" t="s">
        <v>6893</v>
      </c>
      <c r="C1073">
        <v>82.46</v>
      </c>
      <c r="D1073">
        <v>82.46</v>
      </c>
      <c r="E1073" s="765">
        <v>57226.31</v>
      </c>
      <c r="I1073">
        <v>82.46</v>
      </c>
    </row>
    <row r="1074" spans="1:9">
      <c r="A1074" s="785">
        <v>44297</v>
      </c>
      <c r="B1074" t="s">
        <v>6894</v>
      </c>
      <c r="C1074">
        <v>82.46</v>
      </c>
      <c r="D1074">
        <v>82.46</v>
      </c>
      <c r="E1074" s="765">
        <v>57308.77</v>
      </c>
      <c r="I1074">
        <v>82.46</v>
      </c>
    </row>
    <row r="1075" spans="1:9">
      <c r="A1075" s="785">
        <v>44267</v>
      </c>
      <c r="B1075" t="s">
        <v>7190</v>
      </c>
      <c r="C1075" s="765">
        <v>1630.21</v>
      </c>
      <c r="D1075" s="765">
        <v>1630.21</v>
      </c>
      <c r="E1075" s="765">
        <v>58938.98</v>
      </c>
      <c r="H1075" s="765">
        <v>1630.21</v>
      </c>
    </row>
    <row r="1077" spans="1:9">
      <c r="A1077" t="s">
        <v>4138</v>
      </c>
      <c r="B1077" s="765">
        <v>58938.98</v>
      </c>
      <c r="C1077" s="765">
        <v>58938.98</v>
      </c>
      <c r="D1077">
        <v>0</v>
      </c>
      <c r="E1077">
        <v>0</v>
      </c>
      <c r="F1077" s="765">
        <v>1630.21</v>
      </c>
      <c r="G1077" s="765">
        <v>57308.77</v>
      </c>
    </row>
    <row r="1079" spans="1:9">
      <c r="A1079">
        <v>11949</v>
      </c>
      <c r="B1079" t="s">
        <v>6720</v>
      </c>
    </row>
    <row r="1080" spans="1:9">
      <c r="A1080" s="785">
        <v>44296</v>
      </c>
      <c r="B1080" t="s">
        <v>6721</v>
      </c>
      <c r="C1080" s="765">
        <v>4846.09</v>
      </c>
      <c r="D1080" s="765">
        <v>4846.09</v>
      </c>
      <c r="E1080" s="765">
        <v>4846.09</v>
      </c>
      <c r="I1080" s="765">
        <v>4846.09</v>
      </c>
    </row>
    <row r="1081" spans="1:9">
      <c r="A1081" s="785">
        <v>44267</v>
      </c>
      <c r="B1081" t="s">
        <v>7191</v>
      </c>
      <c r="C1081" s="765">
        <v>4612.24</v>
      </c>
      <c r="D1081" s="765">
        <v>4612.24</v>
      </c>
      <c r="E1081" s="765">
        <v>9458.33</v>
      </c>
      <c r="H1081" s="765">
        <v>4612.24</v>
      </c>
    </row>
    <row r="1083" spans="1:9">
      <c r="A1083" t="s">
        <v>4138</v>
      </c>
      <c r="B1083" s="765">
        <v>9458.33</v>
      </c>
      <c r="C1083" s="765">
        <v>9458.33</v>
      </c>
      <c r="D1083">
        <v>0</v>
      </c>
      <c r="E1083">
        <v>0</v>
      </c>
      <c r="F1083" s="765">
        <v>4612.24</v>
      </c>
      <c r="G1083" s="765">
        <v>4846.09</v>
      </c>
    </row>
    <row r="1085" spans="1:9">
      <c r="A1085">
        <v>11950</v>
      </c>
      <c r="B1085" t="s">
        <v>6491</v>
      </c>
    </row>
    <row r="1086" spans="1:9">
      <c r="A1086" s="785">
        <v>44263</v>
      </c>
      <c r="B1086" t="s">
        <v>6492</v>
      </c>
      <c r="C1086" s="765">
        <v>16789.13</v>
      </c>
      <c r="D1086" s="765">
        <v>16789.13</v>
      </c>
      <c r="E1086" s="765">
        <v>16789.13</v>
      </c>
      <c r="I1086" s="765">
        <v>16789.13</v>
      </c>
    </row>
    <row r="1087" spans="1:9">
      <c r="A1087" s="785">
        <v>44296</v>
      </c>
      <c r="B1087" t="s">
        <v>6722</v>
      </c>
      <c r="C1087" s="765">
        <v>15208.4</v>
      </c>
      <c r="D1087" s="765">
        <v>15208.4</v>
      </c>
      <c r="E1087" s="765">
        <v>31997.53</v>
      </c>
      <c r="I1087" s="765">
        <v>15208.4</v>
      </c>
    </row>
    <row r="1088" spans="1:9">
      <c r="A1088" s="785">
        <v>44238</v>
      </c>
      <c r="B1088" t="s">
        <v>6895</v>
      </c>
      <c r="C1088" s="765">
        <v>11613.7</v>
      </c>
      <c r="D1088" s="765">
        <v>11613.7</v>
      </c>
      <c r="E1088" s="765">
        <v>43611.23</v>
      </c>
      <c r="I1088" s="765">
        <v>11613.7</v>
      </c>
    </row>
    <row r="1089" spans="1:9">
      <c r="A1089" s="785">
        <v>44208</v>
      </c>
      <c r="B1089" t="s">
        <v>7192</v>
      </c>
      <c r="C1089" s="765">
        <v>9447.5300000000007</v>
      </c>
      <c r="D1089" s="765">
        <v>9447.5300000000007</v>
      </c>
      <c r="E1089" s="765">
        <v>53058.76</v>
      </c>
      <c r="H1089" s="765">
        <v>9447.5300000000007</v>
      </c>
    </row>
    <row r="1091" spans="1:9">
      <c r="A1091" t="s">
        <v>4138</v>
      </c>
      <c r="B1091" s="765">
        <v>53058.76</v>
      </c>
      <c r="C1091" s="765">
        <v>53058.76</v>
      </c>
      <c r="D1091">
        <v>0</v>
      </c>
      <c r="E1091">
        <v>0</v>
      </c>
      <c r="F1091" s="765">
        <v>9447.5300000000007</v>
      </c>
      <c r="G1091" s="765">
        <v>43611.23</v>
      </c>
    </row>
    <row r="1093" spans="1:9">
      <c r="A1093">
        <v>11952</v>
      </c>
      <c r="B1093" t="s">
        <v>3413</v>
      </c>
    </row>
    <row r="1094" spans="1:9">
      <c r="A1094" t="s">
        <v>6598</v>
      </c>
      <c r="B1094" t="s">
        <v>6601</v>
      </c>
      <c r="C1094" s="765">
        <v>2566.65</v>
      </c>
      <c r="D1094" s="765">
        <v>2566.65</v>
      </c>
      <c r="E1094" s="765">
        <v>2566.65</v>
      </c>
      <c r="I1094" s="765">
        <v>2566.65</v>
      </c>
    </row>
    <row r="1095" spans="1:9">
      <c r="A1095" s="785">
        <v>44296</v>
      </c>
      <c r="B1095" t="s">
        <v>6723</v>
      </c>
      <c r="C1095" s="765">
        <v>3195.3</v>
      </c>
      <c r="D1095" s="765">
        <v>3195.3</v>
      </c>
      <c r="E1095" s="765">
        <v>5761.95</v>
      </c>
      <c r="I1095" s="765">
        <v>3195.3</v>
      </c>
    </row>
    <row r="1096" spans="1:9">
      <c r="A1096" t="s">
        <v>6695</v>
      </c>
      <c r="B1096" t="s">
        <v>6724</v>
      </c>
      <c r="C1096" s="765">
        <v>2629.28</v>
      </c>
      <c r="D1096" s="765">
        <v>2629.28</v>
      </c>
      <c r="E1096" s="765">
        <v>8391.23</v>
      </c>
      <c r="I1096" s="765">
        <v>2629.28</v>
      </c>
    </row>
    <row r="1097" spans="1:9">
      <c r="A1097" s="785">
        <v>44267</v>
      </c>
      <c r="B1097" t="s">
        <v>7193</v>
      </c>
      <c r="C1097" s="765">
        <v>3105.73</v>
      </c>
      <c r="D1097" s="765">
        <v>3105.73</v>
      </c>
      <c r="E1097" s="765">
        <v>11496.96</v>
      </c>
      <c r="H1097" s="765">
        <v>3105.73</v>
      </c>
    </row>
    <row r="1099" spans="1:9">
      <c r="A1099" t="s">
        <v>4138</v>
      </c>
      <c r="B1099" s="765">
        <v>11496.96</v>
      </c>
      <c r="C1099" s="765">
        <v>11496.96</v>
      </c>
      <c r="D1099">
        <v>0</v>
      </c>
      <c r="E1099">
        <v>0</v>
      </c>
      <c r="F1099" s="765">
        <v>3105.73</v>
      </c>
      <c r="G1099" s="765">
        <v>8391.23</v>
      </c>
    </row>
    <row r="1101" spans="1:9">
      <c r="A1101">
        <v>11953</v>
      </c>
      <c r="B1101" t="s">
        <v>4514</v>
      </c>
    </row>
    <row r="1102" spans="1:9">
      <c r="A1102" s="785">
        <v>43167</v>
      </c>
      <c r="B1102" t="s">
        <v>4515</v>
      </c>
      <c r="C1102" s="765">
        <v>1025.93</v>
      </c>
      <c r="D1102" s="765">
        <v>1025.93</v>
      </c>
      <c r="E1102" s="765">
        <v>1025.93</v>
      </c>
      <c r="I1102" s="765">
        <v>1025.93</v>
      </c>
    </row>
    <row r="1103" spans="1:9">
      <c r="A1103" s="785">
        <v>43167</v>
      </c>
      <c r="B1103" t="s">
        <v>4516</v>
      </c>
      <c r="C1103">
        <v>502.12</v>
      </c>
      <c r="D1103">
        <v>502.12</v>
      </c>
      <c r="E1103" s="765">
        <v>1528.05</v>
      </c>
      <c r="I1103">
        <v>502.12</v>
      </c>
    </row>
    <row r="1104" spans="1:9">
      <c r="A1104" s="785">
        <v>43678</v>
      </c>
      <c r="B1104" t="s">
        <v>4517</v>
      </c>
      <c r="C1104" s="765">
        <v>1025.93</v>
      </c>
      <c r="D1104" s="765">
        <v>1025.93</v>
      </c>
      <c r="E1104" s="765">
        <v>2553.98</v>
      </c>
      <c r="I1104" s="765">
        <v>1025.93</v>
      </c>
    </row>
    <row r="1105" spans="1:9">
      <c r="A1105" s="785">
        <v>43678</v>
      </c>
      <c r="B1105" t="s">
        <v>4518</v>
      </c>
      <c r="C1105">
        <v>491.94</v>
      </c>
      <c r="D1105">
        <v>491.94</v>
      </c>
      <c r="E1105" s="765">
        <v>3045.92</v>
      </c>
      <c r="I1105">
        <v>491.94</v>
      </c>
    </row>
    <row r="1106" spans="1:9">
      <c r="A1106" s="785">
        <v>43565</v>
      </c>
      <c r="B1106" t="s">
        <v>4519</v>
      </c>
      <c r="C1106">
        <v>270.44</v>
      </c>
      <c r="D1106">
        <v>270.44</v>
      </c>
      <c r="E1106" s="765">
        <v>3316.36</v>
      </c>
      <c r="I1106">
        <v>270.44</v>
      </c>
    </row>
    <row r="1107" spans="1:9">
      <c r="A1107" s="785">
        <v>43687</v>
      </c>
      <c r="B1107" t="s">
        <v>4520</v>
      </c>
      <c r="C1107" s="765">
        <v>8618.7999999999993</v>
      </c>
      <c r="D1107" s="765">
        <v>8618.7999999999993</v>
      </c>
      <c r="E1107" s="765">
        <v>11935.16</v>
      </c>
      <c r="I1107" s="765">
        <v>8618.7999999999993</v>
      </c>
    </row>
    <row r="1108" spans="1:9">
      <c r="A1108" s="785">
        <v>43932</v>
      </c>
      <c r="B1108" t="s">
        <v>5330</v>
      </c>
      <c r="C1108">
        <v>150.99</v>
      </c>
      <c r="D1108">
        <v>150.99</v>
      </c>
      <c r="E1108" s="765">
        <v>12086.15</v>
      </c>
      <c r="I1108">
        <v>150.99</v>
      </c>
    </row>
    <row r="1110" spans="1:9">
      <c r="A1110" t="s">
        <v>4138</v>
      </c>
      <c r="B1110" s="765">
        <v>12086.15</v>
      </c>
      <c r="C1110" s="765">
        <v>12086.15</v>
      </c>
      <c r="D1110">
        <v>0</v>
      </c>
      <c r="E1110">
        <v>0</v>
      </c>
      <c r="F1110">
        <v>0</v>
      </c>
      <c r="G1110" s="765">
        <v>12086.15</v>
      </c>
    </row>
    <row r="1112" spans="1:9">
      <c r="A1112">
        <v>11957</v>
      </c>
      <c r="B1112" t="s">
        <v>3124</v>
      </c>
    </row>
    <row r="1113" spans="1:9">
      <c r="A1113" t="s">
        <v>4469</v>
      </c>
      <c r="B1113" t="s">
        <v>4521</v>
      </c>
      <c r="C1113">
        <v>894.43</v>
      </c>
      <c r="D1113">
        <v>894.43</v>
      </c>
      <c r="E1113">
        <v>894.43</v>
      </c>
      <c r="I1113">
        <v>894.43</v>
      </c>
    </row>
    <row r="1115" spans="1:9">
      <c r="A1115" t="s">
        <v>4138</v>
      </c>
      <c r="B1115">
        <v>894.43</v>
      </c>
      <c r="C1115">
        <v>894.43</v>
      </c>
      <c r="D1115">
        <v>0</v>
      </c>
      <c r="E1115">
        <v>0</v>
      </c>
      <c r="F1115">
        <v>0</v>
      </c>
      <c r="G1115">
        <v>894.43</v>
      </c>
    </row>
    <row r="1117" spans="1:9">
      <c r="A1117">
        <v>11962</v>
      </c>
      <c r="B1117" t="s">
        <v>7194</v>
      </c>
    </row>
    <row r="1118" spans="1:9">
      <c r="A1118" s="785">
        <v>44208</v>
      </c>
      <c r="B1118" t="s">
        <v>7195</v>
      </c>
      <c r="C1118" s="765">
        <v>2699.96</v>
      </c>
      <c r="D1118" s="765">
        <v>2699.96</v>
      </c>
      <c r="E1118" s="765">
        <v>2699.96</v>
      </c>
      <c r="H1118" s="765">
        <v>2699.96</v>
      </c>
    </row>
    <row r="1119" spans="1:9">
      <c r="A1119" s="785">
        <v>44208</v>
      </c>
      <c r="B1119" t="s">
        <v>7196</v>
      </c>
      <c r="C1119">
        <v>955.54</v>
      </c>
      <c r="D1119">
        <v>955.54</v>
      </c>
      <c r="E1119" s="765">
        <v>3655.5</v>
      </c>
      <c r="H1119">
        <v>955.54</v>
      </c>
    </row>
    <row r="1121" spans="1:9">
      <c r="A1121" t="s">
        <v>4138</v>
      </c>
      <c r="B1121" s="765">
        <v>3655.5</v>
      </c>
      <c r="C1121" s="765">
        <v>3655.5</v>
      </c>
      <c r="D1121">
        <v>0</v>
      </c>
      <c r="E1121">
        <v>0</v>
      </c>
      <c r="F1121" s="765">
        <v>3655.5</v>
      </c>
      <c r="G1121">
        <v>0</v>
      </c>
    </row>
    <row r="1123" spans="1:9">
      <c r="A1123">
        <v>11964</v>
      </c>
      <c r="B1123" t="s">
        <v>6896</v>
      </c>
    </row>
    <row r="1124" spans="1:9">
      <c r="A1124" s="785">
        <v>44238</v>
      </c>
      <c r="B1124" t="s">
        <v>6897</v>
      </c>
      <c r="C1124">
        <v>693.68</v>
      </c>
      <c r="D1124">
        <v>693.68</v>
      </c>
      <c r="E1124">
        <v>693.68</v>
      </c>
      <c r="I1124">
        <v>693.68</v>
      </c>
    </row>
    <row r="1125" spans="1:9">
      <c r="A1125" s="785">
        <v>44208</v>
      </c>
      <c r="B1125" t="s">
        <v>7197</v>
      </c>
      <c r="C1125">
        <v>873.63</v>
      </c>
      <c r="D1125">
        <v>873.63</v>
      </c>
      <c r="E1125" s="765">
        <v>1567.31</v>
      </c>
      <c r="H1125">
        <v>873.63</v>
      </c>
    </row>
    <row r="1127" spans="1:9">
      <c r="A1127" t="s">
        <v>4138</v>
      </c>
      <c r="B1127" s="765">
        <v>1567.31</v>
      </c>
      <c r="C1127" s="765">
        <v>1567.31</v>
      </c>
      <c r="D1127">
        <v>0</v>
      </c>
      <c r="E1127">
        <v>0</v>
      </c>
      <c r="F1127">
        <v>873.63</v>
      </c>
      <c r="G1127">
        <v>693.68</v>
      </c>
    </row>
    <row r="1129" spans="1:9">
      <c r="A1129">
        <v>11968</v>
      </c>
      <c r="B1129" t="s">
        <v>2983</v>
      </c>
    </row>
    <row r="1130" spans="1:9">
      <c r="A1130" s="785">
        <v>43565</v>
      </c>
      <c r="B1130" t="s">
        <v>4522</v>
      </c>
      <c r="C1130" s="765">
        <v>5333.44</v>
      </c>
      <c r="D1130" s="765">
        <v>5333.44</v>
      </c>
      <c r="E1130" s="765">
        <v>5333.44</v>
      </c>
      <c r="I1130" s="765">
        <v>5333.44</v>
      </c>
    </row>
    <row r="1131" spans="1:9">
      <c r="A1131" s="785">
        <v>43477</v>
      </c>
      <c r="B1131" t="s">
        <v>4523</v>
      </c>
      <c r="C1131" s="765">
        <v>2103.48</v>
      </c>
      <c r="D1131" s="765">
        <v>2103.48</v>
      </c>
      <c r="E1131" s="765">
        <v>7436.92</v>
      </c>
      <c r="I1131" s="765">
        <v>2103.48</v>
      </c>
    </row>
    <row r="1133" spans="1:9">
      <c r="A1133" t="s">
        <v>4138</v>
      </c>
      <c r="B1133" s="765">
        <v>7436.92</v>
      </c>
      <c r="C1133" s="765">
        <v>7436.92</v>
      </c>
      <c r="D1133">
        <v>0</v>
      </c>
      <c r="E1133">
        <v>0</v>
      </c>
      <c r="F1133">
        <v>0</v>
      </c>
      <c r="G1133" s="765">
        <v>7436.92</v>
      </c>
    </row>
    <row r="1135" spans="1:9">
      <c r="A1135">
        <v>11971</v>
      </c>
      <c r="B1135" t="s">
        <v>4028</v>
      </c>
    </row>
    <row r="1136" spans="1:9">
      <c r="A1136" t="s">
        <v>4162</v>
      </c>
      <c r="B1136" t="s">
        <v>4524</v>
      </c>
      <c r="C1136">
        <v>79.180000000000007</v>
      </c>
      <c r="D1136">
        <v>79.180000000000007</v>
      </c>
      <c r="E1136">
        <v>79.180000000000007</v>
      </c>
      <c r="I1136">
        <v>79.180000000000007</v>
      </c>
    </row>
    <row r="1137" spans="1:9">
      <c r="A1137" t="s">
        <v>4273</v>
      </c>
      <c r="B1137" t="s">
        <v>4525</v>
      </c>
      <c r="C1137">
        <v>79.180000000000007</v>
      </c>
      <c r="D1137">
        <v>79.180000000000007</v>
      </c>
      <c r="E1137">
        <v>158.36000000000001</v>
      </c>
      <c r="I1137">
        <v>79.180000000000007</v>
      </c>
    </row>
    <row r="1138" spans="1:9">
      <c r="A1138" s="785">
        <v>43927</v>
      </c>
      <c r="B1138" t="s">
        <v>4526</v>
      </c>
      <c r="C1138">
        <v>79.180000000000007</v>
      </c>
      <c r="D1138">
        <v>79.180000000000007</v>
      </c>
      <c r="E1138">
        <v>237.54</v>
      </c>
      <c r="I1138">
        <v>79.180000000000007</v>
      </c>
    </row>
    <row r="1139" spans="1:9">
      <c r="A1139" t="s">
        <v>4377</v>
      </c>
      <c r="B1139" t="s">
        <v>4527</v>
      </c>
      <c r="C1139">
        <v>79.180000000000007</v>
      </c>
      <c r="D1139">
        <v>79.180000000000007</v>
      </c>
      <c r="E1139">
        <v>316.72000000000003</v>
      </c>
      <c r="I1139">
        <v>79.180000000000007</v>
      </c>
    </row>
    <row r="1140" spans="1:9">
      <c r="A1140" s="785">
        <v>43959</v>
      </c>
      <c r="B1140" t="s">
        <v>4528</v>
      </c>
      <c r="C1140">
        <v>79.180000000000007</v>
      </c>
      <c r="D1140">
        <v>79.180000000000007</v>
      </c>
      <c r="E1140">
        <v>395.9</v>
      </c>
      <c r="I1140">
        <v>79.180000000000007</v>
      </c>
    </row>
    <row r="1141" spans="1:9">
      <c r="A1141" s="785">
        <v>43961</v>
      </c>
      <c r="B1141" t="s">
        <v>5285</v>
      </c>
      <c r="C1141">
        <v>79.180000000000007</v>
      </c>
      <c r="D1141">
        <v>79.180000000000007</v>
      </c>
      <c r="E1141">
        <v>475.08</v>
      </c>
      <c r="I1141">
        <v>79.180000000000007</v>
      </c>
    </row>
    <row r="1143" spans="1:9">
      <c r="A1143" t="s">
        <v>4138</v>
      </c>
      <c r="B1143">
        <v>475.08</v>
      </c>
      <c r="C1143">
        <v>475.08</v>
      </c>
      <c r="D1143">
        <v>0</v>
      </c>
      <c r="E1143">
        <v>0</v>
      </c>
      <c r="F1143">
        <v>0</v>
      </c>
      <c r="G1143">
        <v>475.08</v>
      </c>
    </row>
    <row r="1145" spans="1:9">
      <c r="A1145">
        <v>11972</v>
      </c>
      <c r="B1145" t="s">
        <v>7198</v>
      </c>
    </row>
    <row r="1146" spans="1:9">
      <c r="A1146" s="785">
        <v>44208</v>
      </c>
      <c r="B1146" t="s">
        <v>7199</v>
      </c>
      <c r="C1146" s="765">
        <v>1044.32</v>
      </c>
      <c r="D1146" s="765">
        <v>1044.32</v>
      </c>
      <c r="E1146" s="765">
        <v>1044.32</v>
      </c>
      <c r="H1146" s="765">
        <v>1044.32</v>
      </c>
    </row>
    <row r="1148" spans="1:9">
      <c r="A1148" t="s">
        <v>4138</v>
      </c>
      <c r="B1148" s="765">
        <v>1044.32</v>
      </c>
      <c r="C1148" s="765">
        <v>1044.32</v>
      </c>
      <c r="D1148">
        <v>0</v>
      </c>
      <c r="E1148">
        <v>0</v>
      </c>
      <c r="F1148" s="765">
        <v>1044.32</v>
      </c>
      <c r="G1148">
        <v>0</v>
      </c>
    </row>
    <row r="1150" spans="1:9">
      <c r="A1150">
        <v>11974</v>
      </c>
      <c r="B1150" t="s">
        <v>3103</v>
      </c>
    </row>
    <row r="1151" spans="1:9">
      <c r="A1151" s="785">
        <v>44207</v>
      </c>
      <c r="B1151" t="s">
        <v>6898</v>
      </c>
      <c r="C1151" s="765">
        <v>1595.78</v>
      </c>
      <c r="D1151">
        <v>248.91</v>
      </c>
      <c r="E1151">
        <v>248.91</v>
      </c>
      <c r="I1151">
        <v>248.91</v>
      </c>
    </row>
    <row r="1152" spans="1:9">
      <c r="A1152" s="785">
        <v>44208</v>
      </c>
      <c r="B1152" t="s">
        <v>7200</v>
      </c>
      <c r="C1152" s="765">
        <v>1649.68</v>
      </c>
      <c r="D1152" s="765">
        <v>1649.68</v>
      </c>
      <c r="E1152" s="765">
        <v>1898.59</v>
      </c>
      <c r="H1152" s="765">
        <v>1649.68</v>
      </c>
    </row>
    <row r="1154" spans="1:9">
      <c r="A1154" t="s">
        <v>4138</v>
      </c>
      <c r="B1154" s="765">
        <v>3245.46</v>
      </c>
      <c r="C1154" s="765">
        <v>1898.59</v>
      </c>
      <c r="D1154">
        <v>0</v>
      </c>
      <c r="E1154">
        <v>0</v>
      </c>
      <c r="F1154" s="765">
        <v>1649.68</v>
      </c>
      <c r="G1154">
        <v>248.91</v>
      </c>
    </row>
    <row r="1156" spans="1:9">
      <c r="A1156">
        <v>11975</v>
      </c>
      <c r="B1156" t="s">
        <v>3134</v>
      </c>
    </row>
    <row r="1157" spans="1:9">
      <c r="A1157" s="785">
        <v>43836</v>
      </c>
      <c r="B1157" t="s">
        <v>4529</v>
      </c>
      <c r="C1157">
        <v>79.180000000000007</v>
      </c>
      <c r="D1157">
        <v>79.180000000000007</v>
      </c>
      <c r="E1157">
        <v>79.180000000000007</v>
      </c>
      <c r="I1157">
        <v>79.180000000000007</v>
      </c>
    </row>
    <row r="1158" spans="1:9">
      <c r="A1158" s="785">
        <v>43868</v>
      </c>
      <c r="B1158" t="s">
        <v>4530</v>
      </c>
      <c r="C1158">
        <v>79.180000000000007</v>
      </c>
      <c r="D1158">
        <v>79.180000000000007</v>
      </c>
      <c r="E1158">
        <v>158.36000000000001</v>
      </c>
      <c r="I1158">
        <v>79.180000000000007</v>
      </c>
    </row>
    <row r="1159" spans="1:9">
      <c r="A1159" s="785">
        <v>43898</v>
      </c>
      <c r="B1159" t="s">
        <v>4531</v>
      </c>
      <c r="C1159">
        <v>79.180000000000007</v>
      </c>
      <c r="D1159">
        <v>79.180000000000007</v>
      </c>
      <c r="E1159">
        <v>237.54</v>
      </c>
      <c r="I1159">
        <v>79.180000000000007</v>
      </c>
    </row>
    <row r="1161" spans="1:9">
      <c r="A1161" t="s">
        <v>4138</v>
      </c>
      <c r="B1161">
        <v>237.54</v>
      </c>
      <c r="C1161">
        <v>237.54</v>
      </c>
      <c r="D1161">
        <v>0</v>
      </c>
      <c r="E1161">
        <v>0</v>
      </c>
      <c r="F1161">
        <v>0</v>
      </c>
      <c r="G1161">
        <v>237.54</v>
      </c>
    </row>
    <row r="1163" spans="1:9">
      <c r="A1163">
        <v>11976</v>
      </c>
      <c r="B1163" t="s">
        <v>4532</v>
      </c>
    </row>
    <row r="1164" spans="1:9">
      <c r="A1164" s="785">
        <v>43596</v>
      </c>
      <c r="B1164" t="s">
        <v>4533</v>
      </c>
      <c r="C1164">
        <v>221.44</v>
      </c>
      <c r="D1164">
        <v>221.44</v>
      </c>
      <c r="E1164">
        <v>221.44</v>
      </c>
      <c r="I1164">
        <v>221.44</v>
      </c>
    </row>
    <row r="1165" spans="1:9">
      <c r="A1165" s="785">
        <v>44208</v>
      </c>
      <c r="B1165" t="s">
        <v>7201</v>
      </c>
      <c r="C1165">
        <v>141.51</v>
      </c>
      <c r="D1165">
        <v>141.51</v>
      </c>
      <c r="E1165">
        <v>362.95</v>
      </c>
      <c r="H1165">
        <v>141.51</v>
      </c>
    </row>
    <row r="1167" spans="1:9">
      <c r="A1167" t="s">
        <v>4138</v>
      </c>
      <c r="B1167">
        <v>362.95</v>
      </c>
      <c r="C1167">
        <v>362.95</v>
      </c>
      <c r="D1167">
        <v>0</v>
      </c>
      <c r="E1167">
        <v>0</v>
      </c>
      <c r="F1167">
        <v>141.51</v>
      </c>
      <c r="G1167">
        <v>221.44</v>
      </c>
    </row>
    <row r="1169" spans="1:9">
      <c r="A1169">
        <v>11981</v>
      </c>
      <c r="B1169" t="s">
        <v>5286</v>
      </c>
    </row>
    <row r="1170" spans="1:9">
      <c r="A1170" s="785">
        <v>44356</v>
      </c>
      <c r="B1170" t="s">
        <v>6602</v>
      </c>
      <c r="C1170" s="765">
        <v>1074.5899999999999</v>
      </c>
      <c r="D1170" s="765">
        <v>1074.5899999999999</v>
      </c>
      <c r="E1170" s="765">
        <v>1074.5899999999999</v>
      </c>
      <c r="I1170" s="765">
        <v>1074.5899999999999</v>
      </c>
    </row>
    <row r="1171" spans="1:9">
      <c r="A1171" s="785">
        <v>44296</v>
      </c>
      <c r="B1171" t="s">
        <v>6725</v>
      </c>
      <c r="C1171" s="765">
        <v>1193.5</v>
      </c>
      <c r="D1171" s="765">
        <v>1193.5</v>
      </c>
      <c r="E1171" s="765">
        <v>2268.09</v>
      </c>
      <c r="I1171" s="765">
        <v>1193.5</v>
      </c>
    </row>
    <row r="1172" spans="1:9">
      <c r="A1172" s="785">
        <v>44238</v>
      </c>
      <c r="B1172" t="s">
        <v>6899</v>
      </c>
      <c r="C1172" s="765">
        <v>1352.05</v>
      </c>
      <c r="D1172" s="765">
        <v>1352.05</v>
      </c>
      <c r="E1172" s="765">
        <v>3620.14</v>
      </c>
      <c r="I1172" s="765">
        <v>1352.05</v>
      </c>
    </row>
    <row r="1173" spans="1:9">
      <c r="A1173" s="785">
        <v>44208</v>
      </c>
      <c r="B1173" t="s">
        <v>7202</v>
      </c>
      <c r="C1173" s="765">
        <v>1114.23</v>
      </c>
      <c r="D1173" s="765">
        <v>1114.23</v>
      </c>
      <c r="E1173" s="765">
        <v>4734.37</v>
      </c>
      <c r="H1173" s="765">
        <v>1114.23</v>
      </c>
    </row>
    <row r="1175" spans="1:9">
      <c r="A1175" t="s">
        <v>4138</v>
      </c>
      <c r="B1175" s="765">
        <v>4734.37</v>
      </c>
      <c r="C1175" s="765">
        <v>4734.37</v>
      </c>
      <c r="D1175">
        <v>0</v>
      </c>
      <c r="E1175">
        <v>0</v>
      </c>
      <c r="F1175" s="765">
        <v>1114.23</v>
      </c>
      <c r="G1175" s="765">
        <v>3620.14</v>
      </c>
    </row>
    <row r="1177" spans="1:9">
      <c r="A1177">
        <v>11984</v>
      </c>
      <c r="B1177" t="s">
        <v>3268</v>
      </c>
    </row>
    <row r="1178" spans="1:9">
      <c r="A1178" t="s">
        <v>4469</v>
      </c>
      <c r="B1178" t="s">
        <v>4534</v>
      </c>
      <c r="C1178">
        <v>270.44</v>
      </c>
      <c r="D1178">
        <v>270.44</v>
      </c>
      <c r="E1178">
        <v>270.44</v>
      </c>
      <c r="I1178">
        <v>270.44</v>
      </c>
    </row>
    <row r="1179" spans="1:9">
      <c r="A1179" t="s">
        <v>4535</v>
      </c>
      <c r="B1179" t="s">
        <v>4536</v>
      </c>
      <c r="C1179">
        <v>316.74</v>
      </c>
      <c r="D1179">
        <v>316.74</v>
      </c>
      <c r="E1179">
        <v>587.17999999999995</v>
      </c>
      <c r="I1179">
        <v>316.74</v>
      </c>
    </row>
    <row r="1180" spans="1:9">
      <c r="A1180" t="s">
        <v>4162</v>
      </c>
      <c r="B1180" t="s">
        <v>4537</v>
      </c>
      <c r="C1180">
        <v>316.74</v>
      </c>
      <c r="D1180">
        <v>316.74</v>
      </c>
      <c r="E1180">
        <v>903.92</v>
      </c>
      <c r="I1180">
        <v>316.74</v>
      </c>
    </row>
    <row r="1181" spans="1:9">
      <c r="A1181" t="s">
        <v>4162</v>
      </c>
      <c r="B1181" t="s">
        <v>4538</v>
      </c>
      <c r="C1181">
        <v>316.74</v>
      </c>
      <c r="D1181">
        <v>316.74</v>
      </c>
      <c r="E1181" s="765">
        <v>1220.6600000000001</v>
      </c>
      <c r="I1181">
        <v>316.74</v>
      </c>
    </row>
    <row r="1182" spans="1:9">
      <c r="A1182" t="s">
        <v>4273</v>
      </c>
      <c r="B1182" t="s">
        <v>4539</v>
      </c>
      <c r="C1182">
        <v>316.74</v>
      </c>
      <c r="D1182">
        <v>316.74</v>
      </c>
      <c r="E1182" s="765">
        <v>1537.4</v>
      </c>
      <c r="I1182">
        <v>316.74</v>
      </c>
    </row>
    <row r="1183" spans="1:9">
      <c r="A1183" s="785">
        <v>43927</v>
      </c>
      <c r="B1183" t="s">
        <v>4540</v>
      </c>
      <c r="C1183">
        <v>316.74</v>
      </c>
      <c r="D1183">
        <v>316.74</v>
      </c>
      <c r="E1183" s="765">
        <v>1854.14</v>
      </c>
      <c r="I1183">
        <v>316.74</v>
      </c>
    </row>
    <row r="1184" spans="1:9">
      <c r="A1184" s="785">
        <v>43989</v>
      </c>
      <c r="B1184" t="s">
        <v>4541</v>
      </c>
      <c r="C1184">
        <v>316.74</v>
      </c>
      <c r="D1184">
        <v>316.74</v>
      </c>
      <c r="E1184" s="765">
        <v>2170.88</v>
      </c>
      <c r="I1184">
        <v>316.74</v>
      </c>
    </row>
    <row r="1185" spans="1:9">
      <c r="A1185" s="785">
        <v>43959</v>
      </c>
      <c r="B1185" t="s">
        <v>4542</v>
      </c>
      <c r="C1185">
        <v>316.74</v>
      </c>
      <c r="D1185">
        <v>316.74</v>
      </c>
      <c r="E1185" s="765">
        <v>2487.62</v>
      </c>
      <c r="I1185">
        <v>316.74</v>
      </c>
    </row>
    <row r="1187" spans="1:9">
      <c r="A1187" t="s">
        <v>4138</v>
      </c>
      <c r="B1187" s="765">
        <v>2487.62</v>
      </c>
      <c r="C1187" s="765">
        <v>2487.62</v>
      </c>
      <c r="D1187">
        <v>0</v>
      </c>
      <c r="E1187">
        <v>0</v>
      </c>
      <c r="F1187">
        <v>0</v>
      </c>
      <c r="G1187" s="765">
        <v>2487.62</v>
      </c>
    </row>
    <row r="1189" spans="1:9">
      <c r="A1189">
        <v>11987</v>
      </c>
      <c r="B1189" t="s">
        <v>3414</v>
      </c>
    </row>
    <row r="1190" spans="1:9">
      <c r="A1190" s="785">
        <v>43716</v>
      </c>
      <c r="B1190" t="s">
        <v>4543</v>
      </c>
      <c r="C1190" s="765">
        <v>19268.34</v>
      </c>
      <c r="D1190" s="765">
        <v>19268.34</v>
      </c>
      <c r="E1190" s="765">
        <v>19268.34</v>
      </c>
      <c r="I1190" s="765">
        <v>19268.34</v>
      </c>
    </row>
    <row r="1192" spans="1:9">
      <c r="A1192" t="s">
        <v>4138</v>
      </c>
      <c r="B1192" s="765">
        <v>19268.34</v>
      </c>
      <c r="C1192" s="765">
        <v>19268.34</v>
      </c>
      <c r="D1192">
        <v>0</v>
      </c>
      <c r="E1192">
        <v>0</v>
      </c>
      <c r="F1192">
        <v>0</v>
      </c>
      <c r="G1192" s="765">
        <v>19268.34</v>
      </c>
    </row>
    <row r="1194" spans="1:9">
      <c r="A1194">
        <v>11988</v>
      </c>
      <c r="B1194" t="s">
        <v>3144</v>
      </c>
    </row>
    <row r="1195" spans="1:9">
      <c r="A1195" s="785">
        <v>43715</v>
      </c>
      <c r="B1195" t="s">
        <v>4544</v>
      </c>
      <c r="C1195">
        <v>247.92</v>
      </c>
      <c r="D1195">
        <v>247.92</v>
      </c>
      <c r="E1195">
        <v>247.92</v>
      </c>
      <c r="I1195">
        <v>247.92</v>
      </c>
    </row>
    <row r="1196" spans="1:9">
      <c r="A1196" s="785">
        <v>43717</v>
      </c>
      <c r="B1196" t="s">
        <v>4545</v>
      </c>
      <c r="C1196" s="765">
        <v>1290.42</v>
      </c>
      <c r="D1196" s="765">
        <v>1290.42</v>
      </c>
      <c r="E1196" s="765">
        <v>1538.34</v>
      </c>
      <c r="I1196" s="765">
        <v>1290.42</v>
      </c>
    </row>
    <row r="1197" spans="1:9">
      <c r="A1197" s="785">
        <v>43565</v>
      </c>
      <c r="B1197" t="s">
        <v>4546</v>
      </c>
      <c r="C1197">
        <v>643.35</v>
      </c>
      <c r="D1197">
        <v>643.35</v>
      </c>
      <c r="E1197" s="765">
        <v>2181.69</v>
      </c>
      <c r="I1197">
        <v>643.35</v>
      </c>
    </row>
    <row r="1198" spans="1:9">
      <c r="A1198" s="785">
        <v>43596</v>
      </c>
      <c r="B1198" t="s">
        <v>4547</v>
      </c>
      <c r="C1198">
        <v>427.66</v>
      </c>
      <c r="D1198">
        <v>427.66</v>
      </c>
      <c r="E1198" s="765">
        <v>2609.35</v>
      </c>
      <c r="I1198">
        <v>427.66</v>
      </c>
    </row>
    <row r="1199" spans="1:9">
      <c r="A1199" s="785">
        <v>43477</v>
      </c>
      <c r="B1199" t="s">
        <v>4548</v>
      </c>
      <c r="C1199">
        <v>499.56</v>
      </c>
      <c r="D1199">
        <v>499.56</v>
      </c>
      <c r="E1199" s="765">
        <v>3108.91</v>
      </c>
      <c r="I1199">
        <v>499.56</v>
      </c>
    </row>
    <row r="1200" spans="1:9">
      <c r="A1200" t="s">
        <v>4469</v>
      </c>
      <c r="B1200" t="s">
        <v>4549</v>
      </c>
      <c r="C1200">
        <v>463.61</v>
      </c>
      <c r="D1200">
        <v>463.61</v>
      </c>
      <c r="E1200" s="765">
        <v>3572.52</v>
      </c>
      <c r="I1200">
        <v>463.61</v>
      </c>
    </row>
    <row r="1201" spans="1:9">
      <c r="A1201" s="785">
        <v>43953</v>
      </c>
      <c r="B1201" t="s">
        <v>4550</v>
      </c>
      <c r="C1201" s="765">
        <v>1233.99</v>
      </c>
      <c r="D1201" s="765">
        <v>1233.99</v>
      </c>
      <c r="E1201" s="765">
        <v>4806.51</v>
      </c>
      <c r="I1201" s="765">
        <v>1233.99</v>
      </c>
    </row>
    <row r="1202" spans="1:9">
      <c r="A1202" t="s">
        <v>4280</v>
      </c>
      <c r="B1202" t="s">
        <v>4551</v>
      </c>
      <c r="C1202">
        <v>743.29</v>
      </c>
      <c r="D1202">
        <v>743.29</v>
      </c>
      <c r="E1202" s="765">
        <v>5549.8</v>
      </c>
      <c r="I1202">
        <v>743.29</v>
      </c>
    </row>
    <row r="1203" spans="1:9">
      <c r="A1203" s="785">
        <v>44140</v>
      </c>
      <c r="B1203" t="s">
        <v>4552</v>
      </c>
      <c r="C1203">
        <v>592.29999999999995</v>
      </c>
      <c r="D1203">
        <v>592.29999999999995</v>
      </c>
      <c r="E1203" s="765">
        <v>6142.1</v>
      </c>
      <c r="I1203">
        <v>592.29999999999995</v>
      </c>
    </row>
    <row r="1204" spans="1:9">
      <c r="A1204" s="785">
        <v>43989</v>
      </c>
      <c r="B1204" t="s">
        <v>4553</v>
      </c>
      <c r="C1204" s="765">
        <v>2668.35</v>
      </c>
      <c r="D1204" s="765">
        <v>2668.35</v>
      </c>
      <c r="E1204" s="765">
        <v>8810.4500000000007</v>
      </c>
      <c r="I1204" s="765">
        <v>2668.35</v>
      </c>
    </row>
    <row r="1205" spans="1:9">
      <c r="A1205" t="s">
        <v>4377</v>
      </c>
      <c r="B1205" t="s">
        <v>4554</v>
      </c>
      <c r="C1205">
        <v>479.06</v>
      </c>
      <c r="D1205">
        <v>479.06</v>
      </c>
      <c r="E1205" s="765">
        <v>9289.51</v>
      </c>
      <c r="I1205">
        <v>479.06</v>
      </c>
    </row>
    <row r="1206" spans="1:9">
      <c r="A1206" s="785">
        <v>43959</v>
      </c>
      <c r="B1206" t="s">
        <v>4555</v>
      </c>
      <c r="C1206" s="765">
        <v>1686.95</v>
      </c>
      <c r="D1206" s="765">
        <v>1686.95</v>
      </c>
      <c r="E1206" s="765">
        <v>10976.46</v>
      </c>
      <c r="I1206" s="765">
        <v>1686.95</v>
      </c>
    </row>
    <row r="1208" spans="1:9">
      <c r="A1208" t="s">
        <v>4138</v>
      </c>
      <c r="B1208" s="765">
        <v>10976.46</v>
      </c>
      <c r="C1208" s="765">
        <v>10976.46</v>
      </c>
      <c r="D1208">
        <v>0</v>
      </c>
      <c r="E1208">
        <v>0</v>
      </c>
      <c r="F1208">
        <v>0</v>
      </c>
      <c r="G1208" s="765">
        <v>10976.46</v>
      </c>
    </row>
    <row r="1210" spans="1:9">
      <c r="A1210">
        <v>11989</v>
      </c>
      <c r="B1210" t="s">
        <v>6283</v>
      </c>
    </row>
    <row r="1211" spans="1:9">
      <c r="A1211" s="785">
        <v>44208</v>
      </c>
      <c r="B1211" t="s">
        <v>7203</v>
      </c>
      <c r="C1211" s="765">
        <v>1281.75</v>
      </c>
      <c r="D1211" s="765">
        <v>1281.75</v>
      </c>
      <c r="E1211" s="765">
        <v>1281.75</v>
      </c>
      <c r="H1211" s="765">
        <v>1281.75</v>
      </c>
    </row>
    <row r="1212" spans="1:9">
      <c r="A1212" s="785">
        <v>44208</v>
      </c>
      <c r="B1212" t="s">
        <v>7204</v>
      </c>
      <c r="C1212" s="765">
        <v>6636.49</v>
      </c>
      <c r="D1212" s="765">
        <v>6636.49</v>
      </c>
      <c r="E1212" s="765">
        <v>7918.24</v>
      </c>
      <c r="H1212" s="765">
        <v>6636.49</v>
      </c>
    </row>
    <row r="1213" spans="1:9">
      <c r="A1213" s="785">
        <v>44208</v>
      </c>
      <c r="B1213" t="s">
        <v>7205</v>
      </c>
      <c r="C1213" s="765">
        <v>1704.21</v>
      </c>
      <c r="D1213" s="765">
        <v>1704.21</v>
      </c>
      <c r="E1213" s="765">
        <v>9622.4500000000007</v>
      </c>
      <c r="H1213" s="765">
        <v>1704.21</v>
      </c>
    </row>
    <row r="1215" spans="1:9">
      <c r="A1215" t="s">
        <v>4138</v>
      </c>
      <c r="B1215" s="765">
        <v>9622.4500000000007</v>
      </c>
      <c r="C1215" s="765">
        <v>9622.4500000000007</v>
      </c>
      <c r="D1215">
        <v>0</v>
      </c>
      <c r="E1215">
        <v>0</v>
      </c>
      <c r="F1215" s="765">
        <v>9622.4500000000007</v>
      </c>
      <c r="G1215">
        <v>0</v>
      </c>
    </row>
    <row r="1217" spans="1:9">
      <c r="A1217">
        <v>11991</v>
      </c>
      <c r="B1217" t="s">
        <v>3415</v>
      </c>
    </row>
    <row r="1218" spans="1:9">
      <c r="A1218" t="s">
        <v>4556</v>
      </c>
      <c r="B1218" t="s">
        <v>4557</v>
      </c>
      <c r="C1218" s="765">
        <v>25337.87</v>
      </c>
      <c r="D1218" s="765">
        <v>25337.87</v>
      </c>
      <c r="E1218" s="765">
        <v>25337.87</v>
      </c>
      <c r="I1218" s="765">
        <v>25337.87</v>
      </c>
    </row>
    <row r="1219" spans="1:9">
      <c r="A1219" t="s">
        <v>5228</v>
      </c>
      <c r="B1219" t="s">
        <v>5241</v>
      </c>
      <c r="C1219" s="765">
        <v>3499.85</v>
      </c>
      <c r="D1219" s="765">
        <v>1756.5</v>
      </c>
      <c r="E1219" s="765">
        <v>27094.37</v>
      </c>
      <c r="I1219" s="765">
        <v>1756.5</v>
      </c>
    </row>
    <row r="1220" spans="1:9">
      <c r="A1220" t="s">
        <v>5279</v>
      </c>
      <c r="B1220" t="s">
        <v>5287</v>
      </c>
      <c r="C1220" s="765">
        <v>6641.86</v>
      </c>
      <c r="D1220" s="765">
        <v>6641.86</v>
      </c>
      <c r="E1220" s="765">
        <v>33736.230000000003</v>
      </c>
      <c r="I1220" s="765">
        <v>6641.86</v>
      </c>
    </row>
    <row r="1221" spans="1:9">
      <c r="A1221" t="s">
        <v>5279</v>
      </c>
      <c r="B1221" t="s">
        <v>5288</v>
      </c>
      <c r="C1221" s="765">
        <v>11791.98</v>
      </c>
      <c r="D1221" s="765">
        <v>11791.98</v>
      </c>
      <c r="E1221" s="765">
        <v>45528.21</v>
      </c>
      <c r="I1221" s="765">
        <v>11791.98</v>
      </c>
    </row>
    <row r="1222" spans="1:9">
      <c r="A1222" s="785">
        <v>44115</v>
      </c>
      <c r="B1222" t="s">
        <v>5331</v>
      </c>
      <c r="C1222" s="765">
        <v>5369.8</v>
      </c>
      <c r="D1222" s="765">
        <v>5369.8</v>
      </c>
      <c r="E1222" s="765">
        <v>50898.01</v>
      </c>
      <c r="I1222" s="765">
        <v>5369.8</v>
      </c>
    </row>
    <row r="1223" spans="1:9">
      <c r="A1223" s="785">
        <v>44115</v>
      </c>
      <c r="B1223" t="s">
        <v>5332</v>
      </c>
      <c r="C1223" s="765">
        <v>8312.51</v>
      </c>
      <c r="D1223" s="765">
        <v>8312.51</v>
      </c>
      <c r="E1223" s="765">
        <v>59210.52</v>
      </c>
      <c r="I1223" s="765">
        <v>8312.51</v>
      </c>
    </row>
    <row r="1224" spans="1:9">
      <c r="A1224" s="785">
        <v>44115</v>
      </c>
      <c r="B1224" t="s">
        <v>5333</v>
      </c>
      <c r="C1224" s="765">
        <v>6794.35</v>
      </c>
      <c r="D1224" s="765">
        <v>6794.35</v>
      </c>
      <c r="E1224" s="765">
        <v>66004.87</v>
      </c>
      <c r="I1224" s="765">
        <v>6794.35</v>
      </c>
    </row>
    <row r="1225" spans="1:9">
      <c r="A1225" s="785">
        <v>44115</v>
      </c>
      <c r="B1225" t="s">
        <v>5334</v>
      </c>
      <c r="C1225" s="765">
        <v>6616.19</v>
      </c>
      <c r="D1225" s="765">
        <v>6616.19</v>
      </c>
      <c r="E1225" s="765">
        <v>72621.06</v>
      </c>
      <c r="I1225" s="765">
        <v>6616.19</v>
      </c>
    </row>
    <row r="1226" spans="1:9">
      <c r="A1226" s="785">
        <v>43873</v>
      </c>
      <c r="B1226" t="s">
        <v>5612</v>
      </c>
      <c r="C1226" s="765">
        <v>2677.73</v>
      </c>
      <c r="D1226" s="765">
        <v>2677.73</v>
      </c>
      <c r="E1226" s="765">
        <v>75298.789999999994</v>
      </c>
      <c r="I1226" s="765">
        <v>2677.73</v>
      </c>
    </row>
    <row r="1227" spans="1:9">
      <c r="A1227" s="785">
        <v>44348</v>
      </c>
      <c r="B1227" t="s">
        <v>5749</v>
      </c>
      <c r="C1227" s="765">
        <v>1051.6199999999999</v>
      </c>
      <c r="D1227" s="765">
        <v>1051.6199999999999</v>
      </c>
      <c r="E1227" s="765">
        <v>76350.41</v>
      </c>
      <c r="I1227" s="765">
        <v>1051.6199999999999</v>
      </c>
    </row>
    <row r="1229" spans="1:9">
      <c r="A1229" t="s">
        <v>4138</v>
      </c>
      <c r="B1229" s="765">
        <v>78093.759999999995</v>
      </c>
      <c r="C1229" s="765">
        <v>76350.41</v>
      </c>
      <c r="D1229">
        <v>0</v>
      </c>
      <c r="E1229">
        <v>0</v>
      </c>
      <c r="F1229">
        <v>0</v>
      </c>
      <c r="G1229" s="765">
        <v>76350.41</v>
      </c>
    </row>
    <row r="1231" spans="1:9">
      <c r="A1231">
        <v>11993</v>
      </c>
      <c r="B1231" t="s">
        <v>3157</v>
      </c>
    </row>
    <row r="1232" spans="1:9">
      <c r="A1232" t="s">
        <v>4469</v>
      </c>
      <c r="B1232" t="s">
        <v>4558</v>
      </c>
      <c r="C1232">
        <v>45.07</v>
      </c>
      <c r="D1232">
        <v>45.07</v>
      </c>
      <c r="E1232">
        <v>45.07</v>
      </c>
      <c r="I1232">
        <v>45.07</v>
      </c>
    </row>
    <row r="1233" spans="1:9">
      <c r="A1233" t="s">
        <v>4535</v>
      </c>
      <c r="B1233" t="s">
        <v>4559</v>
      </c>
      <c r="C1233" s="765">
        <v>3147.99</v>
      </c>
      <c r="D1233" s="765">
        <v>3147.99</v>
      </c>
      <c r="E1233" s="765">
        <v>3193.06</v>
      </c>
      <c r="I1233" s="765">
        <v>3147.99</v>
      </c>
    </row>
    <row r="1234" spans="1:9">
      <c r="A1234" s="785">
        <v>44107</v>
      </c>
      <c r="B1234" t="s">
        <v>4560</v>
      </c>
      <c r="C1234" s="765">
        <v>3185.74</v>
      </c>
      <c r="D1234" s="765">
        <v>3185.74</v>
      </c>
      <c r="E1234" s="765">
        <v>6378.8</v>
      </c>
      <c r="I1234" s="765">
        <v>3185.74</v>
      </c>
    </row>
    <row r="1235" spans="1:9">
      <c r="A1235" t="s">
        <v>4162</v>
      </c>
      <c r="B1235" t="s">
        <v>4561</v>
      </c>
      <c r="C1235" s="765">
        <v>3223.49</v>
      </c>
      <c r="D1235" s="765">
        <v>3223.49</v>
      </c>
      <c r="E1235" s="765">
        <v>9602.2900000000009</v>
      </c>
      <c r="I1235" s="765">
        <v>3223.49</v>
      </c>
    </row>
    <row r="1236" spans="1:9">
      <c r="A1236" s="785">
        <v>44140</v>
      </c>
      <c r="B1236" t="s">
        <v>4562</v>
      </c>
      <c r="C1236">
        <v>90.54</v>
      </c>
      <c r="D1236">
        <v>90.54</v>
      </c>
      <c r="E1236" s="765">
        <v>9692.83</v>
      </c>
      <c r="I1236">
        <v>90.54</v>
      </c>
    </row>
    <row r="1237" spans="1:9">
      <c r="A1237" t="s">
        <v>4377</v>
      </c>
      <c r="B1237" t="s">
        <v>4563</v>
      </c>
      <c r="C1237">
        <v>52.79</v>
      </c>
      <c r="D1237">
        <v>52.79</v>
      </c>
      <c r="E1237" s="765">
        <v>9745.6200000000008</v>
      </c>
      <c r="I1237">
        <v>52.79</v>
      </c>
    </row>
    <row r="1238" spans="1:9">
      <c r="A1238" t="s">
        <v>4377</v>
      </c>
      <c r="B1238" t="s">
        <v>4564</v>
      </c>
      <c r="C1238">
        <v>52.79</v>
      </c>
      <c r="D1238">
        <v>52.79</v>
      </c>
      <c r="E1238" s="765">
        <v>9798.41</v>
      </c>
      <c r="I1238">
        <v>52.79</v>
      </c>
    </row>
    <row r="1239" spans="1:9">
      <c r="A1239" s="785">
        <v>43959</v>
      </c>
      <c r="B1239" t="s">
        <v>4565</v>
      </c>
      <c r="C1239">
        <v>52.79</v>
      </c>
      <c r="D1239">
        <v>52.79</v>
      </c>
      <c r="E1239" s="765">
        <v>9851.2000000000007</v>
      </c>
      <c r="I1239">
        <v>52.79</v>
      </c>
    </row>
    <row r="1241" spans="1:9">
      <c r="A1241" t="s">
        <v>4138</v>
      </c>
      <c r="B1241" s="765">
        <v>9851.2000000000007</v>
      </c>
      <c r="C1241" s="765">
        <v>9851.2000000000007</v>
      </c>
      <c r="D1241">
        <v>0</v>
      </c>
      <c r="E1241">
        <v>0</v>
      </c>
      <c r="F1241">
        <v>0</v>
      </c>
      <c r="G1241" s="765">
        <v>9851.2000000000007</v>
      </c>
    </row>
    <row r="1243" spans="1:9">
      <c r="A1243">
        <v>11998</v>
      </c>
      <c r="B1243" t="s">
        <v>3352</v>
      </c>
    </row>
    <row r="1244" spans="1:9">
      <c r="A1244" s="785">
        <v>44264</v>
      </c>
      <c r="B1244" t="s">
        <v>6603</v>
      </c>
      <c r="C1244">
        <v>907.22</v>
      </c>
      <c r="D1244">
        <v>907.22</v>
      </c>
      <c r="E1244">
        <v>907.22</v>
      </c>
      <c r="I1244">
        <v>907.22</v>
      </c>
    </row>
    <row r="1246" spans="1:9">
      <c r="A1246" t="s">
        <v>4138</v>
      </c>
      <c r="B1246">
        <v>907.22</v>
      </c>
      <c r="C1246">
        <v>907.22</v>
      </c>
      <c r="D1246">
        <v>0</v>
      </c>
      <c r="E1246">
        <v>0</v>
      </c>
      <c r="F1246">
        <v>0</v>
      </c>
      <c r="G1246">
        <v>907.22</v>
      </c>
    </row>
    <row r="1248" spans="1:9">
      <c r="A1248">
        <v>12009</v>
      </c>
      <c r="B1248" t="s">
        <v>4566</v>
      </c>
    </row>
    <row r="1249" spans="1:9">
      <c r="A1249" s="785">
        <v>43893</v>
      </c>
      <c r="B1249" t="s">
        <v>4567</v>
      </c>
      <c r="C1249">
        <v>528.17999999999995</v>
      </c>
      <c r="D1249">
        <v>528.17999999999995</v>
      </c>
      <c r="E1249">
        <v>528.17999999999995</v>
      </c>
      <c r="I1249">
        <v>528.17999999999995</v>
      </c>
    </row>
    <row r="1251" spans="1:9">
      <c r="A1251" t="s">
        <v>4138</v>
      </c>
      <c r="B1251">
        <v>528.17999999999995</v>
      </c>
      <c r="C1251">
        <v>528.17999999999995</v>
      </c>
      <c r="D1251">
        <v>0</v>
      </c>
      <c r="E1251">
        <v>0</v>
      </c>
      <c r="F1251">
        <v>0</v>
      </c>
      <c r="G1251">
        <v>528.17999999999995</v>
      </c>
    </row>
    <row r="1253" spans="1:9">
      <c r="A1253">
        <v>12010</v>
      </c>
      <c r="B1253" t="s">
        <v>3225</v>
      </c>
    </row>
    <row r="1254" spans="1:9">
      <c r="A1254" t="s">
        <v>5242</v>
      </c>
      <c r="B1254" t="s">
        <v>5243</v>
      </c>
      <c r="C1254" s="765">
        <v>20138.88</v>
      </c>
      <c r="D1254" s="765">
        <v>20138.88</v>
      </c>
      <c r="E1254" s="765">
        <v>20138.88</v>
      </c>
      <c r="I1254" s="765">
        <v>20138.88</v>
      </c>
    </row>
    <row r="1255" spans="1:9">
      <c r="A1255" s="785">
        <v>44022</v>
      </c>
      <c r="B1255" t="s">
        <v>5289</v>
      </c>
      <c r="C1255" s="765">
        <v>6649.06</v>
      </c>
      <c r="D1255" s="765">
        <v>6649.06</v>
      </c>
      <c r="E1255" s="765">
        <v>26787.94</v>
      </c>
      <c r="I1255" s="765">
        <v>6649.06</v>
      </c>
    </row>
    <row r="1257" spans="1:9">
      <c r="A1257" t="s">
        <v>4138</v>
      </c>
      <c r="B1257" s="765">
        <v>26787.94</v>
      </c>
      <c r="C1257" s="765">
        <v>26787.94</v>
      </c>
      <c r="D1257">
        <v>0</v>
      </c>
      <c r="E1257">
        <v>0</v>
      </c>
      <c r="F1257">
        <v>0</v>
      </c>
      <c r="G1257" s="765">
        <v>26787.94</v>
      </c>
    </row>
    <row r="1259" spans="1:9">
      <c r="A1259">
        <v>12011</v>
      </c>
      <c r="B1259" t="s">
        <v>3293</v>
      </c>
    </row>
    <row r="1260" spans="1:9">
      <c r="A1260" s="785">
        <v>44234</v>
      </c>
      <c r="B1260" t="s">
        <v>6393</v>
      </c>
      <c r="C1260">
        <v>533.79999999999995</v>
      </c>
      <c r="D1260">
        <v>533.79999999999995</v>
      </c>
      <c r="E1260">
        <v>533.79999999999995</v>
      </c>
      <c r="I1260">
        <v>533.79999999999995</v>
      </c>
    </row>
    <row r="1261" spans="1:9">
      <c r="A1261" s="785">
        <v>44356</v>
      </c>
      <c r="B1261" t="s">
        <v>6604</v>
      </c>
      <c r="C1261">
        <v>137.43</v>
      </c>
      <c r="D1261">
        <v>137.43</v>
      </c>
      <c r="E1261">
        <v>671.23</v>
      </c>
      <c r="I1261">
        <v>137.43</v>
      </c>
    </row>
    <row r="1262" spans="1:9">
      <c r="A1262" s="785">
        <v>44296</v>
      </c>
      <c r="B1262" t="s">
        <v>6726</v>
      </c>
      <c r="C1262">
        <v>533.79999999999995</v>
      </c>
      <c r="D1262">
        <v>533.79999999999995</v>
      </c>
      <c r="E1262" s="765">
        <v>1205.03</v>
      </c>
      <c r="I1262">
        <v>533.79999999999995</v>
      </c>
    </row>
    <row r="1263" spans="1:9">
      <c r="A1263" s="785">
        <v>44238</v>
      </c>
      <c r="B1263" t="s">
        <v>6900</v>
      </c>
      <c r="C1263">
        <v>533.79999999999995</v>
      </c>
      <c r="D1263">
        <v>533.79999999999995</v>
      </c>
      <c r="E1263" s="765">
        <v>1738.83</v>
      </c>
      <c r="I1263">
        <v>533.79999999999995</v>
      </c>
    </row>
    <row r="1264" spans="1:9">
      <c r="A1264" s="785">
        <v>44208</v>
      </c>
      <c r="B1264" t="s">
        <v>7206</v>
      </c>
      <c r="C1264">
        <v>533.79999999999995</v>
      </c>
      <c r="D1264">
        <v>533.79999999999995</v>
      </c>
      <c r="E1264" s="765">
        <v>2272.63</v>
      </c>
      <c r="H1264">
        <v>533.79999999999995</v>
      </c>
    </row>
    <row r="1266" spans="1:9">
      <c r="A1266" t="s">
        <v>4138</v>
      </c>
      <c r="B1266" s="765">
        <v>2272.63</v>
      </c>
      <c r="C1266" s="765">
        <v>2272.63</v>
      </c>
      <c r="D1266">
        <v>0</v>
      </c>
      <c r="E1266">
        <v>0</v>
      </c>
      <c r="F1266">
        <v>533.79999999999995</v>
      </c>
      <c r="G1266" s="765">
        <v>1738.83</v>
      </c>
    </row>
    <row r="1268" spans="1:9">
      <c r="A1268">
        <v>12012</v>
      </c>
      <c r="B1268" t="s">
        <v>3233</v>
      </c>
    </row>
    <row r="1269" spans="1:9">
      <c r="A1269" s="785">
        <v>44208</v>
      </c>
      <c r="B1269" t="s">
        <v>7207</v>
      </c>
      <c r="C1269">
        <v>255.66</v>
      </c>
      <c r="D1269">
        <v>255.66</v>
      </c>
      <c r="E1269">
        <v>255.66</v>
      </c>
      <c r="H1269">
        <v>255.66</v>
      </c>
    </row>
    <row r="1271" spans="1:9">
      <c r="A1271" t="s">
        <v>4138</v>
      </c>
      <c r="B1271">
        <v>255.66</v>
      </c>
      <c r="C1271">
        <v>255.66</v>
      </c>
      <c r="D1271">
        <v>0</v>
      </c>
      <c r="E1271">
        <v>0</v>
      </c>
      <c r="F1271">
        <v>255.66</v>
      </c>
      <c r="G1271">
        <v>0</v>
      </c>
    </row>
    <row r="1273" spans="1:9">
      <c r="A1273">
        <v>12018</v>
      </c>
      <c r="B1273" t="s">
        <v>6901</v>
      </c>
    </row>
    <row r="1274" spans="1:9">
      <c r="A1274" s="785">
        <v>44238</v>
      </c>
      <c r="B1274" t="s">
        <v>6902</v>
      </c>
      <c r="C1274" s="765">
        <v>1036.94</v>
      </c>
      <c r="D1274" s="765">
        <v>1036.94</v>
      </c>
      <c r="E1274" s="765">
        <v>1036.94</v>
      </c>
      <c r="I1274" s="765">
        <v>1036.94</v>
      </c>
    </row>
    <row r="1276" spans="1:9">
      <c r="A1276" t="s">
        <v>4138</v>
      </c>
      <c r="B1276" s="765">
        <v>1036.94</v>
      </c>
      <c r="C1276" s="765">
        <v>1036.94</v>
      </c>
      <c r="D1276">
        <v>0</v>
      </c>
      <c r="E1276">
        <v>0</v>
      </c>
      <c r="F1276">
        <v>0</v>
      </c>
      <c r="G1276" s="765">
        <v>1036.94</v>
      </c>
    </row>
    <row r="1278" spans="1:9">
      <c r="A1278">
        <v>12019</v>
      </c>
      <c r="B1278" t="s">
        <v>6157</v>
      </c>
    </row>
    <row r="1279" spans="1:9">
      <c r="A1279" s="785">
        <v>44238</v>
      </c>
      <c r="B1279" t="s">
        <v>6903</v>
      </c>
      <c r="C1279">
        <v>125.13</v>
      </c>
      <c r="D1279">
        <v>125.13</v>
      </c>
      <c r="E1279">
        <v>125.13</v>
      </c>
      <c r="I1279">
        <v>125.13</v>
      </c>
    </row>
    <row r="1280" spans="1:9">
      <c r="A1280" s="785">
        <v>44208</v>
      </c>
      <c r="B1280" t="s">
        <v>7208</v>
      </c>
      <c r="C1280">
        <v>130.66999999999999</v>
      </c>
      <c r="D1280">
        <v>130.66999999999999</v>
      </c>
      <c r="E1280">
        <v>255.8</v>
      </c>
      <c r="H1280">
        <v>130.66999999999999</v>
      </c>
    </row>
    <row r="1282" spans="1:9">
      <c r="A1282" t="s">
        <v>4138</v>
      </c>
      <c r="B1282">
        <v>255.8</v>
      </c>
      <c r="C1282">
        <v>255.8</v>
      </c>
      <c r="D1282">
        <v>0</v>
      </c>
      <c r="E1282">
        <v>0</v>
      </c>
      <c r="F1282">
        <v>130.66999999999999</v>
      </c>
      <c r="G1282">
        <v>125.13</v>
      </c>
    </row>
    <row r="1284" spans="1:9">
      <c r="A1284">
        <v>12020</v>
      </c>
      <c r="B1284" t="s">
        <v>6727</v>
      </c>
    </row>
    <row r="1285" spans="1:9">
      <c r="A1285" s="785">
        <v>44296</v>
      </c>
      <c r="B1285" t="s">
        <v>6728</v>
      </c>
      <c r="C1285">
        <v>193.04</v>
      </c>
      <c r="D1285">
        <v>193.04</v>
      </c>
      <c r="E1285">
        <v>193.04</v>
      </c>
      <c r="I1285">
        <v>193.04</v>
      </c>
    </row>
    <row r="1286" spans="1:9">
      <c r="A1286" s="785">
        <v>44238</v>
      </c>
      <c r="B1286" t="s">
        <v>6904</v>
      </c>
      <c r="C1286">
        <v>116.14</v>
      </c>
      <c r="D1286">
        <v>116.14</v>
      </c>
      <c r="E1286">
        <v>309.18</v>
      </c>
      <c r="I1286">
        <v>116.14</v>
      </c>
    </row>
    <row r="1287" spans="1:9">
      <c r="A1287" s="785">
        <v>44208</v>
      </c>
      <c r="B1287" t="s">
        <v>7209</v>
      </c>
      <c r="C1287">
        <v>156.57</v>
      </c>
      <c r="D1287">
        <v>156.57</v>
      </c>
      <c r="E1287">
        <v>465.75</v>
      </c>
      <c r="H1287">
        <v>156.57</v>
      </c>
    </row>
    <row r="1289" spans="1:9">
      <c r="A1289" t="s">
        <v>4138</v>
      </c>
      <c r="B1289">
        <v>465.75</v>
      </c>
      <c r="C1289">
        <v>465.75</v>
      </c>
      <c r="D1289">
        <v>0</v>
      </c>
      <c r="E1289">
        <v>0</v>
      </c>
      <c r="F1289">
        <v>156.57</v>
      </c>
      <c r="G1289">
        <v>309.18</v>
      </c>
    </row>
    <row r="1291" spans="1:9">
      <c r="A1291">
        <v>12026</v>
      </c>
      <c r="B1291" t="s">
        <v>4029</v>
      </c>
    </row>
    <row r="1292" spans="1:9">
      <c r="A1292" s="785">
        <v>44296</v>
      </c>
      <c r="B1292" t="s">
        <v>6729</v>
      </c>
      <c r="C1292" s="765">
        <v>2317.11</v>
      </c>
      <c r="D1292" s="765">
        <v>2317.11</v>
      </c>
      <c r="E1292" s="765">
        <v>2317.11</v>
      </c>
      <c r="I1292" s="765">
        <v>2317.11</v>
      </c>
    </row>
    <row r="1293" spans="1:9">
      <c r="A1293" s="785">
        <v>44238</v>
      </c>
      <c r="B1293" t="s">
        <v>6905</v>
      </c>
      <c r="C1293" s="765">
        <v>2102.6799999999998</v>
      </c>
      <c r="D1293" s="765">
        <v>2102.6799999999998</v>
      </c>
      <c r="E1293" s="765">
        <v>4419.79</v>
      </c>
      <c r="I1293" s="765">
        <v>2102.6799999999998</v>
      </c>
    </row>
    <row r="1294" spans="1:9">
      <c r="A1294" s="785">
        <v>44208</v>
      </c>
      <c r="B1294" t="s">
        <v>7210</v>
      </c>
      <c r="C1294" s="765">
        <v>1002.35</v>
      </c>
      <c r="D1294" s="765">
        <v>1002.35</v>
      </c>
      <c r="E1294" s="765">
        <v>5422.14</v>
      </c>
      <c r="H1294" s="765">
        <v>1002.35</v>
      </c>
    </row>
    <row r="1296" spans="1:9">
      <c r="A1296" t="s">
        <v>4138</v>
      </c>
      <c r="B1296" s="765">
        <v>5422.14</v>
      </c>
      <c r="C1296" s="765">
        <v>5422.14</v>
      </c>
      <c r="D1296">
        <v>0</v>
      </c>
      <c r="E1296">
        <v>0</v>
      </c>
      <c r="F1296" s="765">
        <v>1002.35</v>
      </c>
      <c r="G1296" s="765">
        <v>4419.79</v>
      </c>
    </row>
    <row r="1298" spans="1:9">
      <c r="A1298">
        <v>12035</v>
      </c>
      <c r="B1298" t="s">
        <v>4020</v>
      </c>
    </row>
    <row r="1299" spans="1:9">
      <c r="A1299" s="785">
        <v>43932</v>
      </c>
      <c r="B1299" t="s">
        <v>5335</v>
      </c>
      <c r="C1299">
        <v>304.77</v>
      </c>
      <c r="D1299">
        <v>304.77</v>
      </c>
      <c r="E1299">
        <v>304.77</v>
      </c>
      <c r="I1299">
        <v>304.77</v>
      </c>
    </row>
    <row r="1300" spans="1:9">
      <c r="A1300" s="785">
        <v>44260</v>
      </c>
      <c r="B1300" t="s">
        <v>6223</v>
      </c>
      <c r="C1300">
        <v>472.4</v>
      </c>
      <c r="D1300">
        <v>472.4</v>
      </c>
      <c r="E1300">
        <v>777.17</v>
      </c>
      <c r="I1300">
        <v>472.4</v>
      </c>
    </row>
    <row r="1302" spans="1:9">
      <c r="A1302" t="s">
        <v>4138</v>
      </c>
      <c r="B1302">
        <v>777.17</v>
      </c>
      <c r="C1302">
        <v>777.17</v>
      </c>
      <c r="D1302">
        <v>0</v>
      </c>
      <c r="E1302">
        <v>0</v>
      </c>
      <c r="F1302">
        <v>0</v>
      </c>
      <c r="G1302">
        <v>777.17</v>
      </c>
    </row>
    <row r="1304" spans="1:9">
      <c r="A1304">
        <v>12040</v>
      </c>
      <c r="B1304" t="s">
        <v>5290</v>
      </c>
    </row>
    <row r="1305" spans="1:9">
      <c r="A1305" s="785">
        <v>43961</v>
      </c>
      <c r="B1305" t="s">
        <v>5291</v>
      </c>
      <c r="C1305" s="765">
        <v>1197.32</v>
      </c>
      <c r="D1305" s="765">
        <v>1197.32</v>
      </c>
      <c r="E1305" s="765">
        <v>1197.32</v>
      </c>
      <c r="I1305" s="765">
        <v>1197.32</v>
      </c>
    </row>
    <row r="1306" spans="1:9">
      <c r="A1306" s="785">
        <v>44208</v>
      </c>
      <c r="B1306" t="s">
        <v>7211</v>
      </c>
      <c r="C1306">
        <v>123.67</v>
      </c>
      <c r="D1306">
        <v>123.67</v>
      </c>
      <c r="E1306" s="765">
        <v>1320.99</v>
      </c>
      <c r="H1306">
        <v>123.67</v>
      </c>
    </row>
    <row r="1308" spans="1:9">
      <c r="A1308" t="s">
        <v>4138</v>
      </c>
      <c r="B1308" s="765">
        <v>1320.99</v>
      </c>
      <c r="C1308" s="765">
        <v>1320.99</v>
      </c>
      <c r="D1308">
        <v>0</v>
      </c>
      <c r="E1308">
        <v>0</v>
      </c>
      <c r="F1308">
        <v>123.67</v>
      </c>
      <c r="G1308" s="765">
        <v>1197.32</v>
      </c>
    </row>
    <row r="1310" spans="1:9">
      <c r="A1310">
        <v>12043</v>
      </c>
      <c r="B1310" t="s">
        <v>5268</v>
      </c>
    </row>
    <row r="1311" spans="1:9">
      <c r="A1311" s="785">
        <v>44208</v>
      </c>
      <c r="B1311" t="s">
        <v>7212</v>
      </c>
      <c r="C1311">
        <v>100.68</v>
      </c>
      <c r="D1311">
        <v>100.68</v>
      </c>
      <c r="E1311">
        <v>100.68</v>
      </c>
      <c r="H1311">
        <v>100.68</v>
      </c>
    </row>
    <row r="1313" spans="1:9">
      <c r="A1313" t="s">
        <v>4138</v>
      </c>
      <c r="B1313">
        <v>100.68</v>
      </c>
      <c r="C1313">
        <v>100.68</v>
      </c>
      <c r="D1313">
        <v>0</v>
      </c>
      <c r="E1313">
        <v>0</v>
      </c>
      <c r="F1313">
        <v>100.68</v>
      </c>
      <c r="G1313">
        <v>0</v>
      </c>
    </row>
    <row r="1315" spans="1:9">
      <c r="A1315">
        <v>12044</v>
      </c>
      <c r="B1315" t="s">
        <v>5244</v>
      </c>
    </row>
    <row r="1316" spans="1:9">
      <c r="A1316" t="s">
        <v>5228</v>
      </c>
      <c r="B1316" t="s">
        <v>5245</v>
      </c>
      <c r="C1316" s="765">
        <v>3892.17</v>
      </c>
      <c r="D1316" s="765">
        <v>3892.17</v>
      </c>
      <c r="E1316" s="765">
        <v>3892.17</v>
      </c>
      <c r="I1316" s="765">
        <v>3892.17</v>
      </c>
    </row>
    <row r="1318" spans="1:9">
      <c r="A1318" t="s">
        <v>4138</v>
      </c>
      <c r="B1318" s="765">
        <v>3892.17</v>
      </c>
      <c r="C1318" s="765">
        <v>3892.17</v>
      </c>
      <c r="D1318">
        <v>0</v>
      </c>
      <c r="E1318">
        <v>0</v>
      </c>
      <c r="F1318">
        <v>0</v>
      </c>
      <c r="G1318" s="765">
        <v>3892.17</v>
      </c>
    </row>
    <row r="1320" spans="1:9">
      <c r="A1320">
        <v>12045</v>
      </c>
      <c r="B1320" t="s">
        <v>5270</v>
      </c>
    </row>
    <row r="1321" spans="1:9">
      <c r="A1321" s="785">
        <v>44238</v>
      </c>
      <c r="B1321" t="s">
        <v>6906</v>
      </c>
      <c r="C1321">
        <v>415.79</v>
      </c>
      <c r="D1321">
        <v>415.79</v>
      </c>
      <c r="E1321">
        <v>415.79</v>
      </c>
      <c r="I1321">
        <v>415.79</v>
      </c>
    </row>
    <row r="1322" spans="1:9">
      <c r="A1322" s="785">
        <v>44208</v>
      </c>
      <c r="B1322" t="s">
        <v>7213</v>
      </c>
      <c r="C1322">
        <v>863.3</v>
      </c>
      <c r="D1322">
        <v>863.3</v>
      </c>
      <c r="E1322" s="765">
        <v>1279.0899999999999</v>
      </c>
      <c r="H1322">
        <v>863.3</v>
      </c>
    </row>
    <row r="1324" spans="1:9">
      <c r="A1324" t="s">
        <v>4138</v>
      </c>
      <c r="B1324" s="765">
        <v>1279.0899999999999</v>
      </c>
      <c r="C1324" s="765">
        <v>1279.0899999999999</v>
      </c>
      <c r="D1324">
        <v>0</v>
      </c>
      <c r="E1324">
        <v>0</v>
      </c>
      <c r="F1324">
        <v>863.3</v>
      </c>
      <c r="G1324">
        <v>415.79</v>
      </c>
    </row>
    <row r="1326" spans="1:9">
      <c r="A1326">
        <v>12055</v>
      </c>
      <c r="B1326" t="s">
        <v>5663</v>
      </c>
    </row>
    <row r="1327" spans="1:9">
      <c r="A1327" s="785">
        <v>44296</v>
      </c>
      <c r="B1327" t="s">
        <v>6730</v>
      </c>
      <c r="C1327">
        <v>118.52</v>
      </c>
      <c r="D1327">
        <v>118.52</v>
      </c>
      <c r="E1327">
        <v>118.52</v>
      </c>
      <c r="I1327">
        <v>118.52</v>
      </c>
    </row>
    <row r="1328" spans="1:9">
      <c r="A1328" s="785">
        <v>44238</v>
      </c>
      <c r="B1328" t="s">
        <v>6907</v>
      </c>
      <c r="C1328">
        <v>131.97999999999999</v>
      </c>
      <c r="D1328">
        <v>131.97999999999999</v>
      </c>
      <c r="E1328">
        <v>250.5</v>
      </c>
      <c r="I1328">
        <v>131.97999999999999</v>
      </c>
    </row>
    <row r="1330" spans="1:9">
      <c r="A1330" t="s">
        <v>4138</v>
      </c>
      <c r="B1330">
        <v>250.5</v>
      </c>
      <c r="C1330">
        <v>250.5</v>
      </c>
      <c r="D1330">
        <v>0</v>
      </c>
      <c r="E1330">
        <v>0</v>
      </c>
      <c r="F1330">
        <v>0</v>
      </c>
      <c r="G1330">
        <v>250.5</v>
      </c>
    </row>
    <row r="1332" spans="1:9">
      <c r="A1332">
        <v>12056</v>
      </c>
      <c r="B1332" t="s">
        <v>7214</v>
      </c>
    </row>
    <row r="1333" spans="1:9">
      <c r="A1333" s="785">
        <v>44208</v>
      </c>
      <c r="B1333" t="s">
        <v>7215</v>
      </c>
      <c r="C1333">
        <v>106.63</v>
      </c>
      <c r="D1333">
        <v>106.63</v>
      </c>
      <c r="E1333">
        <v>106.63</v>
      </c>
      <c r="H1333">
        <v>106.63</v>
      </c>
    </row>
    <row r="1335" spans="1:9">
      <c r="A1335" t="s">
        <v>4138</v>
      </c>
      <c r="B1335">
        <v>106.63</v>
      </c>
      <c r="C1335">
        <v>106.63</v>
      </c>
      <c r="D1335">
        <v>0</v>
      </c>
      <c r="E1335">
        <v>0</v>
      </c>
      <c r="F1335">
        <v>106.63</v>
      </c>
      <c r="G1335">
        <v>0</v>
      </c>
    </row>
    <row r="1337" spans="1:9">
      <c r="A1337">
        <v>12057</v>
      </c>
      <c r="B1337" t="s">
        <v>5665</v>
      </c>
    </row>
    <row r="1338" spans="1:9">
      <c r="A1338" s="785">
        <v>44348</v>
      </c>
      <c r="B1338" t="s">
        <v>5750</v>
      </c>
      <c r="C1338" s="765">
        <v>20801.95</v>
      </c>
      <c r="D1338" s="765">
        <v>20801.95</v>
      </c>
      <c r="E1338" s="765">
        <v>20801.95</v>
      </c>
      <c r="I1338" s="765">
        <v>20801.95</v>
      </c>
    </row>
    <row r="1339" spans="1:9">
      <c r="A1339" s="785">
        <v>44288</v>
      </c>
      <c r="B1339" t="s">
        <v>5882</v>
      </c>
      <c r="C1339">
        <v>280.64999999999998</v>
      </c>
      <c r="D1339">
        <v>280.64999999999998</v>
      </c>
      <c r="E1339" s="765">
        <v>21082.6</v>
      </c>
      <c r="I1339">
        <v>280.64999999999998</v>
      </c>
    </row>
    <row r="1340" spans="1:9">
      <c r="A1340" s="785">
        <v>44472</v>
      </c>
      <c r="B1340" t="s">
        <v>5938</v>
      </c>
      <c r="C1340">
        <v>399.56</v>
      </c>
      <c r="D1340">
        <v>399.56</v>
      </c>
      <c r="E1340" s="765">
        <v>21482.16</v>
      </c>
      <c r="I1340">
        <v>399.56</v>
      </c>
    </row>
    <row r="1341" spans="1:9">
      <c r="A1341" s="785">
        <v>44351</v>
      </c>
      <c r="B1341" t="s">
        <v>6158</v>
      </c>
      <c r="C1341">
        <v>122.1</v>
      </c>
      <c r="D1341">
        <v>122.1</v>
      </c>
      <c r="E1341" s="765">
        <v>21604.26</v>
      </c>
      <c r="I1341">
        <v>122.1</v>
      </c>
    </row>
    <row r="1342" spans="1:9">
      <c r="A1342" s="785">
        <v>44260</v>
      </c>
      <c r="B1342" t="s">
        <v>6224</v>
      </c>
      <c r="C1342">
        <v>122.1</v>
      </c>
      <c r="D1342">
        <v>122.1</v>
      </c>
      <c r="E1342" s="765">
        <v>21726.36</v>
      </c>
      <c r="I1342">
        <v>122.1</v>
      </c>
    </row>
    <row r="1343" spans="1:9">
      <c r="A1343" s="785">
        <v>44261</v>
      </c>
      <c r="B1343" t="s">
        <v>6284</v>
      </c>
      <c r="C1343">
        <v>122.1</v>
      </c>
      <c r="D1343">
        <v>122.1</v>
      </c>
      <c r="E1343" s="765">
        <v>21848.46</v>
      </c>
      <c r="I1343">
        <v>122.1</v>
      </c>
    </row>
    <row r="1344" spans="1:9">
      <c r="A1344" s="785">
        <v>44234</v>
      </c>
      <c r="B1344" t="s">
        <v>6394</v>
      </c>
      <c r="C1344">
        <v>122.1</v>
      </c>
      <c r="D1344">
        <v>122.1</v>
      </c>
      <c r="E1344" s="765">
        <v>21970.560000000001</v>
      </c>
      <c r="I1344">
        <v>122.1</v>
      </c>
    </row>
    <row r="1345" spans="1:9">
      <c r="A1345" s="785">
        <v>44294</v>
      </c>
      <c r="B1345" t="s">
        <v>6493</v>
      </c>
      <c r="C1345">
        <v>241.01</v>
      </c>
      <c r="D1345">
        <v>241.01</v>
      </c>
      <c r="E1345" s="765">
        <v>22211.57</v>
      </c>
      <c r="I1345">
        <v>241.01</v>
      </c>
    </row>
    <row r="1346" spans="1:9">
      <c r="A1346" s="785">
        <v>44356</v>
      </c>
      <c r="B1346" t="s">
        <v>6605</v>
      </c>
      <c r="C1346">
        <v>478.83</v>
      </c>
      <c r="D1346">
        <v>478.83</v>
      </c>
      <c r="E1346" s="765">
        <v>22690.400000000001</v>
      </c>
      <c r="I1346">
        <v>478.83</v>
      </c>
    </row>
    <row r="1347" spans="1:9">
      <c r="A1347" s="785">
        <v>44296</v>
      </c>
      <c r="B1347" t="s">
        <v>6731</v>
      </c>
      <c r="C1347">
        <v>478.83</v>
      </c>
      <c r="D1347">
        <v>478.83</v>
      </c>
      <c r="E1347" s="765">
        <v>23169.23</v>
      </c>
      <c r="I1347">
        <v>478.83</v>
      </c>
    </row>
    <row r="1348" spans="1:9">
      <c r="A1348" s="785">
        <v>44238</v>
      </c>
      <c r="B1348" t="s">
        <v>6908</v>
      </c>
      <c r="C1348">
        <v>677.02</v>
      </c>
      <c r="D1348">
        <v>677.02</v>
      </c>
      <c r="E1348" s="765">
        <v>23846.25</v>
      </c>
      <c r="I1348">
        <v>677.02</v>
      </c>
    </row>
    <row r="1349" spans="1:9">
      <c r="A1349" s="785">
        <v>44208</v>
      </c>
      <c r="B1349" t="s">
        <v>7216</v>
      </c>
      <c r="C1349">
        <v>558.11</v>
      </c>
      <c r="D1349">
        <v>558.11</v>
      </c>
      <c r="E1349" s="765">
        <v>24404.36</v>
      </c>
      <c r="H1349">
        <v>558.11</v>
      </c>
    </row>
    <row r="1351" spans="1:9">
      <c r="A1351" t="s">
        <v>4138</v>
      </c>
      <c r="B1351" s="765">
        <v>24404.36</v>
      </c>
      <c r="C1351" s="765">
        <v>24404.36</v>
      </c>
      <c r="D1351">
        <v>0</v>
      </c>
      <c r="E1351">
        <v>0</v>
      </c>
      <c r="F1351">
        <v>558.11</v>
      </c>
      <c r="G1351" s="765">
        <v>23846.25</v>
      </c>
    </row>
    <row r="1353" spans="1:9">
      <c r="A1353">
        <v>12058</v>
      </c>
      <c r="B1353" t="s">
        <v>5594</v>
      </c>
    </row>
    <row r="1354" spans="1:9">
      <c r="A1354" s="785">
        <v>44291</v>
      </c>
      <c r="B1354" t="s">
        <v>6225</v>
      </c>
      <c r="C1354">
        <v>393.13</v>
      </c>
      <c r="D1354">
        <v>393.13</v>
      </c>
      <c r="E1354">
        <v>393.13</v>
      </c>
      <c r="I1354">
        <v>393.13</v>
      </c>
    </row>
    <row r="1355" spans="1:9">
      <c r="A1355" s="785">
        <v>44233</v>
      </c>
      <c r="B1355" t="s">
        <v>6285</v>
      </c>
      <c r="C1355">
        <v>415.73</v>
      </c>
      <c r="D1355">
        <v>415.73</v>
      </c>
      <c r="E1355">
        <v>808.86</v>
      </c>
      <c r="I1355">
        <v>415.73</v>
      </c>
    </row>
    <row r="1357" spans="1:9">
      <c r="A1357" t="s">
        <v>4138</v>
      </c>
      <c r="B1357">
        <v>808.86</v>
      </c>
      <c r="C1357">
        <v>808.86</v>
      </c>
      <c r="D1357">
        <v>0</v>
      </c>
      <c r="E1357">
        <v>0</v>
      </c>
      <c r="F1357">
        <v>0</v>
      </c>
      <c r="G1357">
        <v>808.86</v>
      </c>
    </row>
    <row r="1359" spans="1:9">
      <c r="A1359">
        <v>12060</v>
      </c>
      <c r="B1359" t="s">
        <v>6606</v>
      </c>
    </row>
    <row r="1360" spans="1:9">
      <c r="A1360" t="s">
        <v>6587</v>
      </c>
      <c r="B1360" t="s">
        <v>6607</v>
      </c>
      <c r="C1360">
        <v>954.48</v>
      </c>
      <c r="D1360">
        <v>954.48</v>
      </c>
      <c r="E1360">
        <v>954.48</v>
      </c>
      <c r="I1360">
        <v>954.48</v>
      </c>
    </row>
    <row r="1361" spans="1:9">
      <c r="A1361" s="785">
        <v>44296</v>
      </c>
      <c r="B1361" t="s">
        <v>6732</v>
      </c>
      <c r="C1361">
        <v>954.48</v>
      </c>
      <c r="D1361">
        <v>954.48</v>
      </c>
      <c r="E1361" s="765">
        <v>1908.96</v>
      </c>
      <c r="I1361">
        <v>954.48</v>
      </c>
    </row>
    <row r="1362" spans="1:9">
      <c r="A1362" s="785">
        <v>44238</v>
      </c>
      <c r="B1362" t="s">
        <v>6909</v>
      </c>
      <c r="C1362" s="765">
        <v>1073.3900000000001</v>
      </c>
      <c r="D1362" s="765">
        <v>1073.3900000000001</v>
      </c>
      <c r="E1362" s="765">
        <v>2982.35</v>
      </c>
      <c r="I1362" s="765">
        <v>1073.3900000000001</v>
      </c>
    </row>
    <row r="1363" spans="1:9">
      <c r="A1363" s="785">
        <v>44208</v>
      </c>
      <c r="B1363" t="s">
        <v>7217</v>
      </c>
      <c r="C1363">
        <v>875.2</v>
      </c>
      <c r="D1363">
        <v>875.2</v>
      </c>
      <c r="E1363" s="765">
        <v>3857.55</v>
      </c>
      <c r="H1363">
        <v>875.2</v>
      </c>
    </row>
    <row r="1365" spans="1:9">
      <c r="A1365" t="s">
        <v>4138</v>
      </c>
      <c r="B1365" s="765">
        <v>3857.55</v>
      </c>
      <c r="C1365" s="765">
        <v>3857.55</v>
      </c>
      <c r="D1365">
        <v>0</v>
      </c>
      <c r="E1365">
        <v>0</v>
      </c>
      <c r="F1365">
        <v>875.2</v>
      </c>
      <c r="G1365" s="765">
        <v>2982.35</v>
      </c>
    </row>
    <row r="1367" spans="1:9">
      <c r="A1367">
        <v>12062</v>
      </c>
      <c r="B1367" t="s">
        <v>6286</v>
      </c>
    </row>
    <row r="1368" spans="1:9">
      <c r="A1368" s="785">
        <v>44356</v>
      </c>
      <c r="B1368" t="s">
        <v>6608</v>
      </c>
      <c r="C1368" s="765">
        <v>1704.48</v>
      </c>
      <c r="D1368" s="765">
        <v>1704.48</v>
      </c>
      <c r="E1368" s="765">
        <v>1704.48</v>
      </c>
      <c r="I1368" s="765">
        <v>1704.48</v>
      </c>
    </row>
    <row r="1370" spans="1:9">
      <c r="A1370" t="s">
        <v>4138</v>
      </c>
      <c r="B1370" s="765">
        <v>1704.48</v>
      </c>
      <c r="C1370" s="765">
        <v>1704.48</v>
      </c>
      <c r="D1370">
        <v>0</v>
      </c>
      <c r="E1370">
        <v>0</v>
      </c>
      <c r="F1370">
        <v>0</v>
      </c>
      <c r="G1370" s="765">
        <v>1704.48</v>
      </c>
    </row>
    <row r="1372" spans="1:9">
      <c r="A1372">
        <v>12068</v>
      </c>
      <c r="B1372" t="s">
        <v>5784</v>
      </c>
    </row>
    <row r="1373" spans="1:9">
      <c r="A1373" t="s">
        <v>5874</v>
      </c>
      <c r="B1373" t="s">
        <v>5883</v>
      </c>
      <c r="C1373">
        <v>792.74</v>
      </c>
      <c r="D1373">
        <v>792.74</v>
      </c>
      <c r="E1373">
        <v>792.74</v>
      </c>
      <c r="I1373">
        <v>792.74</v>
      </c>
    </row>
    <row r="1374" spans="1:9">
      <c r="A1374" s="785">
        <v>44351</v>
      </c>
      <c r="B1374" t="s">
        <v>6159</v>
      </c>
      <c r="C1374" s="765">
        <v>11518.96</v>
      </c>
      <c r="D1374" s="765">
        <v>11518.96</v>
      </c>
      <c r="E1374" s="765">
        <v>12311.7</v>
      </c>
      <c r="I1374" s="765">
        <v>11518.96</v>
      </c>
    </row>
    <row r="1375" spans="1:9">
      <c r="A1375" t="s">
        <v>6587</v>
      </c>
      <c r="B1375" t="s">
        <v>6609</v>
      </c>
      <c r="C1375" s="765">
        <v>16531.88</v>
      </c>
      <c r="D1375" s="765">
        <v>16531.88</v>
      </c>
      <c r="E1375" s="765">
        <v>28843.58</v>
      </c>
      <c r="I1375" s="765">
        <v>16531.88</v>
      </c>
    </row>
    <row r="1377" spans="1:9">
      <c r="A1377" t="s">
        <v>4138</v>
      </c>
      <c r="B1377" s="765">
        <v>28843.58</v>
      </c>
      <c r="C1377" s="765">
        <v>28843.58</v>
      </c>
      <c r="D1377">
        <v>0</v>
      </c>
      <c r="E1377">
        <v>0</v>
      </c>
      <c r="F1377">
        <v>0</v>
      </c>
      <c r="G1377" s="765">
        <v>28843.58</v>
      </c>
    </row>
    <row r="1379" spans="1:9">
      <c r="A1379">
        <v>12075</v>
      </c>
      <c r="B1379" t="s">
        <v>6257</v>
      </c>
    </row>
    <row r="1380" spans="1:9">
      <c r="A1380" s="785">
        <v>44208</v>
      </c>
      <c r="B1380" t="s">
        <v>7218</v>
      </c>
      <c r="C1380" s="765">
        <v>9247.4599999999991</v>
      </c>
      <c r="D1380" s="765">
        <v>9247.4599999999991</v>
      </c>
      <c r="E1380" s="765">
        <v>9247.4599999999991</v>
      </c>
      <c r="H1380" s="765">
        <v>9247.4599999999991</v>
      </c>
    </row>
    <row r="1382" spans="1:9">
      <c r="A1382" t="s">
        <v>4138</v>
      </c>
      <c r="B1382" s="765">
        <v>9247.4599999999991</v>
      </c>
      <c r="C1382" s="765">
        <v>9247.4599999999991</v>
      </c>
      <c r="D1382">
        <v>0</v>
      </c>
      <c r="E1382">
        <v>0</v>
      </c>
      <c r="F1382" s="765">
        <v>9247.4599999999991</v>
      </c>
      <c r="G1382">
        <v>0</v>
      </c>
    </row>
    <row r="1384" spans="1:9">
      <c r="A1384">
        <v>12079</v>
      </c>
      <c r="B1384" t="s">
        <v>6261</v>
      </c>
    </row>
    <row r="1385" spans="1:9">
      <c r="A1385" s="785">
        <v>44208</v>
      </c>
      <c r="B1385" t="s">
        <v>7219</v>
      </c>
      <c r="C1385">
        <v>633.09</v>
      </c>
      <c r="D1385">
        <v>633.09</v>
      </c>
      <c r="E1385">
        <v>633.09</v>
      </c>
      <c r="H1385">
        <v>633.09</v>
      </c>
    </row>
    <row r="1387" spans="1:9">
      <c r="A1387" t="s">
        <v>4138</v>
      </c>
      <c r="B1387">
        <v>633.09</v>
      </c>
      <c r="C1387">
        <v>633.09</v>
      </c>
      <c r="D1387">
        <v>0</v>
      </c>
      <c r="E1387">
        <v>0</v>
      </c>
      <c r="F1387">
        <v>633.09</v>
      </c>
      <c r="G1387">
        <v>0</v>
      </c>
    </row>
    <row r="1389" spans="1:9">
      <c r="A1389">
        <v>12081</v>
      </c>
      <c r="B1389" t="s">
        <v>6395</v>
      </c>
    </row>
    <row r="1390" spans="1:9">
      <c r="A1390" s="785">
        <v>44234</v>
      </c>
      <c r="B1390" t="s">
        <v>6396</v>
      </c>
      <c r="C1390">
        <v>82.46</v>
      </c>
      <c r="D1390">
        <v>82.46</v>
      </c>
      <c r="E1390">
        <v>82.46</v>
      </c>
      <c r="I1390">
        <v>82.46</v>
      </c>
    </row>
    <row r="1392" spans="1:9">
      <c r="A1392" t="s">
        <v>4138</v>
      </c>
      <c r="B1392">
        <v>82.46</v>
      </c>
      <c r="C1392">
        <v>82.46</v>
      </c>
      <c r="D1392">
        <v>0</v>
      </c>
      <c r="E1392">
        <v>0</v>
      </c>
      <c r="F1392">
        <v>0</v>
      </c>
      <c r="G1392">
        <v>82.46</v>
      </c>
    </row>
    <row r="1394" spans="1:9">
      <c r="A1394">
        <v>12083</v>
      </c>
      <c r="B1394" t="s">
        <v>6449</v>
      </c>
    </row>
    <row r="1395" spans="1:9">
      <c r="A1395" s="785">
        <v>44208</v>
      </c>
      <c r="B1395" t="s">
        <v>7220</v>
      </c>
      <c r="C1395">
        <v>148.26</v>
      </c>
      <c r="D1395">
        <v>148.26</v>
      </c>
      <c r="E1395">
        <v>148.26</v>
      </c>
      <c r="H1395">
        <v>148.26</v>
      </c>
    </row>
    <row r="1397" spans="1:9">
      <c r="A1397" t="s">
        <v>4138</v>
      </c>
      <c r="B1397">
        <v>148.26</v>
      </c>
      <c r="C1397">
        <v>148.26</v>
      </c>
      <c r="D1397">
        <v>0</v>
      </c>
      <c r="E1397">
        <v>0</v>
      </c>
      <c r="F1397">
        <v>148.26</v>
      </c>
      <c r="G1397">
        <v>0</v>
      </c>
    </row>
    <row r="1399" spans="1:9">
      <c r="A1399">
        <v>12087</v>
      </c>
      <c r="B1399" t="s">
        <v>6455</v>
      </c>
    </row>
    <row r="1400" spans="1:9">
      <c r="A1400" s="785">
        <v>44238</v>
      </c>
      <c r="B1400" t="s">
        <v>6910</v>
      </c>
      <c r="C1400">
        <v>677.02</v>
      </c>
      <c r="D1400">
        <v>677.02</v>
      </c>
      <c r="E1400">
        <v>677.02</v>
      </c>
      <c r="I1400">
        <v>677.02</v>
      </c>
    </row>
    <row r="1401" spans="1:9">
      <c r="A1401" s="785">
        <v>44208</v>
      </c>
      <c r="B1401" t="s">
        <v>7221</v>
      </c>
      <c r="C1401">
        <v>558.11</v>
      </c>
      <c r="D1401">
        <v>558.11</v>
      </c>
      <c r="E1401" s="765">
        <v>1235.1300000000001</v>
      </c>
      <c r="H1401">
        <v>558.11</v>
      </c>
    </row>
    <row r="1403" spans="1:9">
      <c r="A1403" t="s">
        <v>4138</v>
      </c>
      <c r="B1403" s="765">
        <v>1235.1300000000001</v>
      </c>
      <c r="C1403" s="765">
        <v>1235.1300000000001</v>
      </c>
      <c r="D1403">
        <v>0</v>
      </c>
      <c r="E1403">
        <v>0</v>
      </c>
      <c r="F1403">
        <v>558.11</v>
      </c>
      <c r="G1403">
        <v>677.02</v>
      </c>
    </row>
    <row r="1405" spans="1:9">
      <c r="A1405">
        <v>12088</v>
      </c>
      <c r="B1405" t="s">
        <v>6430</v>
      </c>
    </row>
    <row r="1406" spans="1:9">
      <c r="A1406" s="785">
        <v>44208</v>
      </c>
      <c r="B1406" t="s">
        <v>7222</v>
      </c>
      <c r="C1406" s="765">
        <v>1545.89</v>
      </c>
      <c r="D1406" s="765">
        <v>1545.89</v>
      </c>
      <c r="E1406" s="765">
        <v>1545.89</v>
      </c>
      <c r="H1406" s="765">
        <v>1545.89</v>
      </c>
    </row>
    <row r="1408" spans="1:9">
      <c r="A1408" t="s">
        <v>4138</v>
      </c>
      <c r="B1408" s="765">
        <v>1545.89</v>
      </c>
      <c r="C1408" s="765">
        <v>1545.89</v>
      </c>
      <c r="D1408">
        <v>0</v>
      </c>
      <c r="E1408">
        <v>0</v>
      </c>
      <c r="F1408" s="765">
        <v>1545.89</v>
      </c>
      <c r="G1408">
        <v>0</v>
      </c>
    </row>
    <row r="1410" spans="1:9">
      <c r="A1410">
        <v>12090</v>
      </c>
      <c r="B1410" t="s">
        <v>6538</v>
      </c>
    </row>
    <row r="1411" spans="1:9">
      <c r="A1411" s="785">
        <v>44448</v>
      </c>
      <c r="B1411" t="s">
        <v>6610</v>
      </c>
      <c r="C1411">
        <v>296.89999999999998</v>
      </c>
      <c r="D1411">
        <v>296.89999999999998</v>
      </c>
      <c r="E1411">
        <v>296.89999999999998</v>
      </c>
      <c r="I1411">
        <v>296.89999999999998</v>
      </c>
    </row>
    <row r="1412" spans="1:9">
      <c r="A1412" s="785">
        <v>44296</v>
      </c>
      <c r="B1412" t="s">
        <v>6733</v>
      </c>
      <c r="C1412">
        <v>976.68</v>
      </c>
      <c r="D1412">
        <v>976.68</v>
      </c>
      <c r="E1412" s="765">
        <v>1273.58</v>
      </c>
      <c r="I1412">
        <v>976.68</v>
      </c>
    </row>
    <row r="1413" spans="1:9">
      <c r="A1413" s="785">
        <v>44238</v>
      </c>
      <c r="B1413" t="s">
        <v>6911</v>
      </c>
      <c r="C1413">
        <v>160.15</v>
      </c>
      <c r="D1413">
        <v>160.15</v>
      </c>
      <c r="E1413" s="765">
        <v>1433.73</v>
      </c>
      <c r="I1413">
        <v>160.15</v>
      </c>
    </row>
    <row r="1414" spans="1:9">
      <c r="A1414" s="785">
        <v>44208</v>
      </c>
      <c r="B1414" t="s">
        <v>7223</v>
      </c>
      <c r="C1414">
        <v>161.72999999999999</v>
      </c>
      <c r="D1414">
        <v>161.72999999999999</v>
      </c>
      <c r="E1414" s="765">
        <v>1595.46</v>
      </c>
      <c r="H1414">
        <v>161.72999999999999</v>
      </c>
    </row>
    <row r="1416" spans="1:9">
      <c r="A1416" t="s">
        <v>4138</v>
      </c>
      <c r="B1416" s="765">
        <v>1595.46</v>
      </c>
      <c r="C1416" s="765">
        <v>1595.46</v>
      </c>
      <c r="D1416">
        <v>0</v>
      </c>
      <c r="E1416">
        <v>0</v>
      </c>
      <c r="F1416">
        <v>161.72999999999999</v>
      </c>
      <c r="G1416" s="765">
        <v>1433.73</v>
      </c>
    </row>
    <row r="1418" spans="1:9">
      <c r="A1418">
        <v>12094</v>
      </c>
      <c r="B1418" t="s">
        <v>6820</v>
      </c>
    </row>
    <row r="1419" spans="1:9">
      <c r="A1419" s="785">
        <v>44238</v>
      </c>
      <c r="B1419" t="s">
        <v>6912</v>
      </c>
      <c r="C1419">
        <v>478.83</v>
      </c>
      <c r="D1419">
        <v>478.83</v>
      </c>
      <c r="E1419">
        <v>478.83</v>
      </c>
      <c r="I1419">
        <v>478.83</v>
      </c>
    </row>
    <row r="1420" spans="1:9">
      <c r="A1420" s="785">
        <v>44208</v>
      </c>
      <c r="B1420" t="s">
        <v>7224</v>
      </c>
      <c r="C1420">
        <v>161.72999999999999</v>
      </c>
      <c r="D1420">
        <v>161.72999999999999</v>
      </c>
      <c r="E1420">
        <v>640.55999999999995</v>
      </c>
      <c r="H1420">
        <v>161.72999999999999</v>
      </c>
    </row>
    <row r="1422" spans="1:9">
      <c r="A1422" t="s">
        <v>4138</v>
      </c>
      <c r="B1422">
        <v>640.55999999999995</v>
      </c>
      <c r="C1422">
        <v>640.55999999999995</v>
      </c>
      <c r="D1422">
        <v>0</v>
      </c>
      <c r="E1422">
        <v>0</v>
      </c>
      <c r="F1422">
        <v>161.72999999999999</v>
      </c>
      <c r="G1422">
        <v>478.83</v>
      </c>
    </row>
    <row r="1424" spans="1:9">
      <c r="A1424">
        <v>12095</v>
      </c>
      <c r="B1424" t="s">
        <v>6822</v>
      </c>
    </row>
    <row r="1425" spans="1:9">
      <c r="A1425" s="785">
        <v>44208</v>
      </c>
      <c r="B1425" t="s">
        <v>7225</v>
      </c>
      <c r="C1425" s="765">
        <v>24957.57</v>
      </c>
      <c r="D1425" s="765">
        <v>24957.57</v>
      </c>
      <c r="E1425" s="765">
        <v>24957.57</v>
      </c>
      <c r="H1425" s="765">
        <v>24957.57</v>
      </c>
    </row>
    <row r="1427" spans="1:9">
      <c r="A1427" t="s">
        <v>4138</v>
      </c>
      <c r="B1427" s="765">
        <v>24957.57</v>
      </c>
      <c r="C1427" s="765">
        <v>24957.57</v>
      </c>
      <c r="D1427">
        <v>0</v>
      </c>
      <c r="E1427">
        <v>0</v>
      </c>
      <c r="F1427" s="765">
        <v>24957.57</v>
      </c>
      <c r="G1427">
        <v>0</v>
      </c>
    </row>
    <row r="1429" spans="1:9">
      <c r="A1429">
        <v>12098</v>
      </c>
      <c r="B1429" t="s">
        <v>7226</v>
      </c>
    </row>
    <row r="1430" spans="1:9">
      <c r="A1430" t="s">
        <v>7227</v>
      </c>
      <c r="B1430" t="s">
        <v>7228</v>
      </c>
      <c r="C1430" s="765">
        <v>1741.43</v>
      </c>
      <c r="D1430" s="765">
        <v>1741.43</v>
      </c>
      <c r="E1430" s="765">
        <v>1741.43</v>
      </c>
      <c r="G1430" s="765">
        <v>1741.43</v>
      </c>
    </row>
    <row r="1432" spans="1:9">
      <c r="A1432" t="s">
        <v>4138</v>
      </c>
      <c r="B1432" s="765">
        <v>1741.43</v>
      </c>
      <c r="C1432" s="765">
        <v>1741.43</v>
      </c>
      <c r="D1432">
        <v>0</v>
      </c>
      <c r="E1432" s="765">
        <v>1741.43</v>
      </c>
      <c r="F1432">
        <v>0</v>
      </c>
      <c r="G1432">
        <v>0</v>
      </c>
    </row>
    <row r="1434" spans="1:9">
      <c r="A1434">
        <v>7</v>
      </c>
      <c r="B1434" t="s">
        <v>4568</v>
      </c>
    </row>
    <row r="1436" spans="1:9">
      <c r="A1436">
        <v>11418</v>
      </c>
      <c r="B1436" t="s">
        <v>6734</v>
      </c>
    </row>
    <row r="1437" spans="1:9">
      <c r="A1437" s="785">
        <v>44297</v>
      </c>
      <c r="B1437" t="s">
        <v>6913</v>
      </c>
      <c r="C1437" s="765">
        <v>14199.44</v>
      </c>
      <c r="D1437" s="765">
        <v>14199.44</v>
      </c>
      <c r="E1437" s="765">
        <v>14199.44</v>
      </c>
      <c r="I1437" s="765">
        <v>14199.44</v>
      </c>
    </row>
    <row r="1438" spans="1:9">
      <c r="A1438" s="785">
        <v>44239</v>
      </c>
      <c r="B1438" t="s">
        <v>7229</v>
      </c>
      <c r="C1438" s="765">
        <v>13569.83</v>
      </c>
      <c r="D1438" s="765">
        <v>13569.83</v>
      </c>
      <c r="E1438" s="765">
        <v>27769.27</v>
      </c>
      <c r="H1438" s="765">
        <v>13569.83</v>
      </c>
    </row>
    <row r="1440" spans="1:9">
      <c r="A1440" t="s">
        <v>4138</v>
      </c>
      <c r="B1440" s="765">
        <v>27769.27</v>
      </c>
      <c r="C1440" s="765">
        <v>27769.27</v>
      </c>
      <c r="D1440">
        <v>0</v>
      </c>
      <c r="E1440">
        <v>0</v>
      </c>
      <c r="F1440" s="765">
        <v>13569.83</v>
      </c>
      <c r="G1440" s="765">
        <v>14199.44</v>
      </c>
    </row>
    <row r="1442" spans="1:9">
      <c r="A1442">
        <v>11832</v>
      </c>
      <c r="B1442" t="s">
        <v>3416</v>
      </c>
    </row>
    <row r="1443" spans="1:9">
      <c r="A1443" s="785">
        <v>44389</v>
      </c>
      <c r="B1443" t="s">
        <v>7230</v>
      </c>
      <c r="C1443" s="765">
        <v>74533.600000000006</v>
      </c>
      <c r="D1443" s="765">
        <v>74533.600000000006</v>
      </c>
      <c r="E1443" s="765">
        <v>74533.600000000006</v>
      </c>
      <c r="H1443" s="765">
        <v>74533.600000000006</v>
      </c>
    </row>
    <row r="1445" spans="1:9">
      <c r="A1445" t="s">
        <v>4138</v>
      </c>
      <c r="B1445" s="765">
        <v>74533.600000000006</v>
      </c>
      <c r="C1445" s="765">
        <v>74533.600000000006</v>
      </c>
      <c r="D1445">
        <v>0</v>
      </c>
      <c r="E1445">
        <v>0</v>
      </c>
      <c r="F1445" s="765">
        <v>74533.600000000006</v>
      </c>
      <c r="G1445">
        <v>0</v>
      </c>
    </row>
    <row r="1447" spans="1:9">
      <c r="A1447">
        <v>5</v>
      </c>
      <c r="B1447" t="s">
        <v>4569</v>
      </c>
    </row>
    <row r="1449" spans="1:9">
      <c r="A1449">
        <v>11007</v>
      </c>
      <c r="B1449" t="s">
        <v>4139</v>
      </c>
    </row>
    <row r="1450" spans="1:9">
      <c r="A1450" s="785">
        <v>44208</v>
      </c>
      <c r="B1450" t="s">
        <v>7231</v>
      </c>
      <c r="C1450" s="765">
        <v>77037.539999999994</v>
      </c>
      <c r="D1450" s="765">
        <v>77037.539999999994</v>
      </c>
      <c r="E1450" s="765">
        <v>77037.539999999994</v>
      </c>
      <c r="H1450" s="765">
        <v>77037.539999999994</v>
      </c>
    </row>
    <row r="1452" spans="1:9">
      <c r="A1452" t="s">
        <v>4138</v>
      </c>
      <c r="B1452" s="765">
        <v>77037.539999999994</v>
      </c>
      <c r="C1452" s="765">
        <v>77037.539999999994</v>
      </c>
      <c r="D1452">
        <v>0</v>
      </c>
      <c r="E1452">
        <v>0</v>
      </c>
      <c r="F1452" s="765">
        <v>77037.539999999994</v>
      </c>
      <c r="G1452">
        <v>0</v>
      </c>
    </row>
    <row r="1454" spans="1:9">
      <c r="A1454">
        <v>11413</v>
      </c>
      <c r="B1454" t="s">
        <v>3388</v>
      </c>
    </row>
    <row r="1455" spans="1:9">
      <c r="A1455" s="785">
        <v>44356</v>
      </c>
      <c r="B1455" t="s">
        <v>6611</v>
      </c>
      <c r="C1455" s="765">
        <v>6900.94</v>
      </c>
      <c r="D1455" s="765">
        <v>6900.94</v>
      </c>
      <c r="E1455" s="765">
        <v>6900.94</v>
      </c>
      <c r="I1455" s="765">
        <v>6900.94</v>
      </c>
    </row>
    <row r="1456" spans="1:9">
      <c r="A1456" s="785">
        <v>44296</v>
      </c>
      <c r="B1456" t="s">
        <v>6735</v>
      </c>
      <c r="C1456" s="765">
        <v>6900.94</v>
      </c>
      <c r="D1456" s="765">
        <v>6900.94</v>
      </c>
      <c r="E1456" s="765">
        <v>13801.88</v>
      </c>
      <c r="I1456" s="765">
        <v>6900.94</v>
      </c>
    </row>
    <row r="1457" spans="1:9">
      <c r="A1457" s="785">
        <v>44238</v>
      </c>
      <c r="B1457" t="s">
        <v>6914</v>
      </c>
      <c r="C1457" s="765">
        <v>6900.94</v>
      </c>
      <c r="D1457" s="765">
        <v>6900.94</v>
      </c>
      <c r="E1457" s="765">
        <v>20702.82</v>
      </c>
      <c r="I1457" s="765">
        <v>6900.94</v>
      </c>
    </row>
    <row r="1458" spans="1:9">
      <c r="A1458" s="785">
        <v>44208</v>
      </c>
      <c r="B1458" t="s">
        <v>7232</v>
      </c>
      <c r="C1458" s="765">
        <v>6900.94</v>
      </c>
      <c r="D1458" s="765">
        <v>6900.94</v>
      </c>
      <c r="E1458" s="765">
        <v>27603.759999999998</v>
      </c>
      <c r="H1458" s="765">
        <v>6900.94</v>
      </c>
    </row>
    <row r="1460" spans="1:9">
      <c r="A1460" t="s">
        <v>4138</v>
      </c>
      <c r="B1460" s="765">
        <v>27603.759999999998</v>
      </c>
      <c r="C1460" s="765">
        <v>27603.759999999998</v>
      </c>
      <c r="D1460">
        <v>0</v>
      </c>
      <c r="E1460">
        <v>0</v>
      </c>
      <c r="F1460" s="765">
        <v>6900.94</v>
      </c>
      <c r="G1460" s="765">
        <v>20702.82</v>
      </c>
    </row>
    <row r="1462" spans="1:9">
      <c r="A1462">
        <v>11441</v>
      </c>
      <c r="B1462" t="s">
        <v>4313</v>
      </c>
    </row>
    <row r="1463" spans="1:9">
      <c r="A1463" s="785">
        <v>43232</v>
      </c>
      <c r="B1463" t="s">
        <v>4570</v>
      </c>
      <c r="C1463" s="765">
        <v>4889.04</v>
      </c>
      <c r="D1463" s="765">
        <v>4889.04</v>
      </c>
      <c r="E1463" s="765">
        <v>4889.04</v>
      </c>
      <c r="I1463" s="765">
        <v>4889.04</v>
      </c>
    </row>
    <row r="1464" spans="1:9">
      <c r="A1464" s="785">
        <v>43232</v>
      </c>
      <c r="B1464" t="s">
        <v>4571</v>
      </c>
      <c r="C1464" s="765">
        <v>4889.04</v>
      </c>
      <c r="D1464" s="765">
        <v>4889.04</v>
      </c>
      <c r="E1464" s="765">
        <v>9778.08</v>
      </c>
      <c r="I1464" s="765">
        <v>4889.04</v>
      </c>
    </row>
    <row r="1465" spans="1:9">
      <c r="A1465" s="785">
        <v>43232</v>
      </c>
      <c r="B1465" t="s">
        <v>4572</v>
      </c>
      <c r="C1465" s="765">
        <v>4889.04</v>
      </c>
      <c r="D1465" s="765">
        <v>4889.04</v>
      </c>
      <c r="E1465" s="765">
        <v>14667.12</v>
      </c>
      <c r="I1465" s="765">
        <v>4889.04</v>
      </c>
    </row>
    <row r="1466" spans="1:9">
      <c r="A1466" s="785">
        <v>43232</v>
      </c>
      <c r="B1466" t="s">
        <v>4573</v>
      </c>
      <c r="C1466" s="765">
        <v>4889.04</v>
      </c>
      <c r="D1466" s="765">
        <v>4889.04</v>
      </c>
      <c r="E1466" s="765">
        <v>19556.16</v>
      </c>
      <c r="I1466" s="765">
        <v>4889.04</v>
      </c>
    </row>
    <row r="1467" spans="1:9">
      <c r="A1467" s="785">
        <v>43232</v>
      </c>
      <c r="B1467" t="s">
        <v>4574</v>
      </c>
      <c r="C1467" s="765">
        <v>4889.04</v>
      </c>
      <c r="D1467" s="765">
        <v>4889.04</v>
      </c>
      <c r="E1467" s="765">
        <v>24445.200000000001</v>
      </c>
      <c r="I1467" s="765">
        <v>4889.04</v>
      </c>
    </row>
    <row r="1468" spans="1:9">
      <c r="A1468" s="785">
        <v>43232</v>
      </c>
      <c r="B1468" t="s">
        <v>4575</v>
      </c>
      <c r="C1468" s="765">
        <v>4889.04</v>
      </c>
      <c r="D1468" s="765">
        <v>4889.04</v>
      </c>
      <c r="E1468" s="765">
        <v>29334.240000000002</v>
      </c>
      <c r="I1468" s="765">
        <v>4889.04</v>
      </c>
    </row>
    <row r="1469" spans="1:9">
      <c r="A1469" s="785">
        <v>43111</v>
      </c>
      <c r="B1469" t="s">
        <v>4576</v>
      </c>
      <c r="C1469" s="765">
        <v>10070.25</v>
      </c>
      <c r="D1469" s="765">
        <v>10070.25</v>
      </c>
      <c r="E1469" s="765">
        <v>39404.49</v>
      </c>
      <c r="I1469" s="765">
        <v>10070.25</v>
      </c>
    </row>
    <row r="1470" spans="1:9">
      <c r="A1470" s="785">
        <v>44359</v>
      </c>
      <c r="B1470" t="s">
        <v>7233</v>
      </c>
      <c r="C1470" s="765">
        <v>12697.74</v>
      </c>
      <c r="D1470" s="765">
        <v>12697.74</v>
      </c>
      <c r="E1470" s="765">
        <v>52102.23</v>
      </c>
      <c r="H1470" s="765">
        <v>12697.74</v>
      </c>
    </row>
    <row r="1472" spans="1:9">
      <c r="A1472" t="s">
        <v>4138</v>
      </c>
      <c r="B1472" s="765">
        <v>52102.23</v>
      </c>
      <c r="C1472" s="765">
        <v>52102.23</v>
      </c>
      <c r="D1472">
        <v>0</v>
      </c>
      <c r="E1472">
        <v>0</v>
      </c>
      <c r="F1472" s="765">
        <v>12697.74</v>
      </c>
      <c r="G1472" s="765">
        <v>39404.49</v>
      </c>
    </row>
    <row r="1474" spans="1:9">
      <c r="A1474">
        <v>11485</v>
      </c>
      <c r="B1474" t="s">
        <v>1258</v>
      </c>
    </row>
    <row r="1475" spans="1:9">
      <c r="A1475" s="785">
        <v>43232</v>
      </c>
      <c r="B1475" t="s">
        <v>4577</v>
      </c>
      <c r="C1475" s="765">
        <v>3153.08</v>
      </c>
      <c r="D1475" s="765">
        <v>3153.08</v>
      </c>
      <c r="E1475" s="765">
        <v>3153.08</v>
      </c>
      <c r="I1475" s="765">
        <v>3153.08</v>
      </c>
    </row>
    <row r="1476" spans="1:9">
      <c r="A1476" s="785">
        <v>43232</v>
      </c>
      <c r="B1476" t="s">
        <v>4578</v>
      </c>
      <c r="C1476" s="765">
        <v>3153.08</v>
      </c>
      <c r="D1476" s="765">
        <v>3153.08</v>
      </c>
      <c r="E1476" s="765">
        <v>6306.16</v>
      </c>
      <c r="I1476" s="765">
        <v>3153.08</v>
      </c>
    </row>
    <row r="1477" spans="1:9">
      <c r="A1477" s="785">
        <v>43476</v>
      </c>
      <c r="B1477" t="s">
        <v>4579</v>
      </c>
      <c r="C1477" s="765">
        <v>4722.8100000000004</v>
      </c>
      <c r="D1477" s="765">
        <v>4722.8100000000004</v>
      </c>
      <c r="E1477" s="765">
        <v>11028.97</v>
      </c>
      <c r="I1477" s="765">
        <v>4722.8100000000004</v>
      </c>
    </row>
    <row r="1479" spans="1:9">
      <c r="A1479" t="s">
        <v>4138</v>
      </c>
      <c r="B1479" s="765">
        <v>11028.97</v>
      </c>
      <c r="C1479" s="765">
        <v>11028.97</v>
      </c>
      <c r="D1479">
        <v>0</v>
      </c>
      <c r="E1479">
        <v>0</v>
      </c>
      <c r="F1479">
        <v>0</v>
      </c>
      <c r="G1479" s="765">
        <v>11028.97</v>
      </c>
    </row>
    <row r="1481" spans="1:9">
      <c r="A1481">
        <v>11573</v>
      </c>
      <c r="B1481" t="s">
        <v>3417</v>
      </c>
    </row>
    <row r="1482" spans="1:9">
      <c r="A1482" s="785">
        <v>43232</v>
      </c>
      <c r="B1482" t="s">
        <v>4580</v>
      </c>
      <c r="C1482" s="765">
        <v>17713.900000000001</v>
      </c>
      <c r="D1482" s="765">
        <v>17713.900000000001</v>
      </c>
      <c r="E1482" s="765">
        <v>17713.900000000001</v>
      </c>
      <c r="I1482" s="765">
        <v>17713.900000000001</v>
      </c>
    </row>
    <row r="1483" spans="1:9">
      <c r="A1483" s="785">
        <v>43232</v>
      </c>
      <c r="B1483" t="s">
        <v>4581</v>
      </c>
      <c r="C1483" s="765">
        <v>17713.900000000001</v>
      </c>
      <c r="D1483" s="765">
        <v>17713.900000000001</v>
      </c>
      <c r="E1483" s="765">
        <v>35427.800000000003</v>
      </c>
      <c r="I1483" s="765">
        <v>17713.900000000001</v>
      </c>
    </row>
    <row r="1484" spans="1:9">
      <c r="A1484" t="s">
        <v>4582</v>
      </c>
      <c r="B1484" t="s">
        <v>4583</v>
      </c>
      <c r="C1484" s="765">
        <v>17713.900000000001</v>
      </c>
      <c r="D1484" s="765">
        <v>17713.900000000001</v>
      </c>
      <c r="E1484" s="765">
        <v>53141.7</v>
      </c>
      <c r="I1484" s="765">
        <v>17713.900000000001</v>
      </c>
    </row>
    <row r="1485" spans="1:9">
      <c r="A1485" t="s">
        <v>4584</v>
      </c>
      <c r="B1485" t="s">
        <v>4585</v>
      </c>
      <c r="C1485" s="765">
        <v>3866.66</v>
      </c>
      <c r="D1485" s="765">
        <v>3866.66</v>
      </c>
      <c r="E1485" s="765">
        <v>57008.36</v>
      </c>
      <c r="I1485" s="765">
        <v>3866.66</v>
      </c>
    </row>
    <row r="1486" spans="1:9">
      <c r="A1486" s="785">
        <v>44208</v>
      </c>
      <c r="B1486" t="s">
        <v>7234</v>
      </c>
      <c r="C1486" s="765">
        <v>46006.29</v>
      </c>
      <c r="D1486" s="765">
        <v>46006.29</v>
      </c>
      <c r="E1486" s="765">
        <v>103014.65</v>
      </c>
      <c r="H1486" s="765">
        <v>46006.29</v>
      </c>
    </row>
    <row r="1488" spans="1:9">
      <c r="A1488" t="s">
        <v>4138</v>
      </c>
      <c r="B1488" s="765">
        <v>103014.65</v>
      </c>
      <c r="C1488" s="765">
        <v>103014.65</v>
      </c>
      <c r="D1488">
        <v>0</v>
      </c>
      <c r="E1488">
        <v>0</v>
      </c>
      <c r="F1488" s="765">
        <v>46006.29</v>
      </c>
      <c r="G1488" s="765">
        <v>57008.36</v>
      </c>
    </row>
    <row r="1490" spans="1:9">
      <c r="A1490">
        <v>11720</v>
      </c>
      <c r="B1490" t="s">
        <v>6397</v>
      </c>
    </row>
    <row r="1491" spans="1:9">
      <c r="A1491" s="785">
        <v>44294</v>
      </c>
      <c r="B1491" t="s">
        <v>6494</v>
      </c>
      <c r="C1491" s="765">
        <v>6900.94</v>
      </c>
      <c r="D1491" s="765">
        <v>6900.94</v>
      </c>
      <c r="E1491" s="765">
        <v>6900.94</v>
      </c>
      <c r="I1491" s="765">
        <v>6900.94</v>
      </c>
    </row>
    <row r="1492" spans="1:9">
      <c r="A1492" s="785">
        <v>44267</v>
      </c>
      <c r="B1492" t="s">
        <v>7235</v>
      </c>
      <c r="C1492" s="765">
        <v>6900.94</v>
      </c>
      <c r="D1492" s="765">
        <v>6900.94</v>
      </c>
      <c r="E1492" s="765">
        <v>13801.88</v>
      </c>
      <c r="H1492" s="765">
        <v>6900.94</v>
      </c>
    </row>
    <row r="1494" spans="1:9">
      <c r="A1494" t="s">
        <v>4138</v>
      </c>
      <c r="B1494" s="765">
        <v>13801.88</v>
      </c>
      <c r="C1494" s="765">
        <v>13801.88</v>
      </c>
      <c r="D1494">
        <v>0</v>
      </c>
      <c r="E1494">
        <v>0</v>
      </c>
      <c r="F1494" s="765">
        <v>6900.94</v>
      </c>
      <c r="G1494" s="765">
        <v>6900.94</v>
      </c>
    </row>
    <row r="1496" spans="1:9">
      <c r="A1496">
        <v>11721</v>
      </c>
      <c r="B1496" t="s">
        <v>3418</v>
      </c>
    </row>
    <row r="1497" spans="1:9">
      <c r="A1497" t="s">
        <v>4586</v>
      </c>
      <c r="B1497" t="s">
        <v>4587</v>
      </c>
      <c r="C1497" s="765">
        <v>3866.66</v>
      </c>
      <c r="D1497" s="765">
        <v>3866.66</v>
      </c>
      <c r="E1497" s="765">
        <v>3866.66</v>
      </c>
      <c r="I1497" s="765">
        <v>3866.66</v>
      </c>
    </row>
    <row r="1498" spans="1:9">
      <c r="A1498" s="785">
        <v>44239</v>
      </c>
      <c r="B1498" t="s">
        <v>7236</v>
      </c>
      <c r="C1498" s="765">
        <v>27603.78</v>
      </c>
      <c r="D1498" s="765">
        <v>27603.78</v>
      </c>
      <c r="E1498" s="765">
        <v>31470.44</v>
      </c>
      <c r="H1498" s="765">
        <v>27603.78</v>
      </c>
    </row>
    <row r="1500" spans="1:9">
      <c r="A1500" t="s">
        <v>4138</v>
      </c>
      <c r="B1500" s="765">
        <v>31470.44</v>
      </c>
      <c r="C1500" s="765">
        <v>31470.44</v>
      </c>
      <c r="D1500">
        <v>0</v>
      </c>
      <c r="E1500">
        <v>0</v>
      </c>
      <c r="F1500" s="765">
        <v>27603.78</v>
      </c>
      <c r="G1500" s="765">
        <v>3866.66</v>
      </c>
    </row>
    <row r="1502" spans="1:9">
      <c r="A1502">
        <v>11723</v>
      </c>
      <c r="B1502" t="s">
        <v>2844</v>
      </c>
    </row>
    <row r="1503" spans="1:9">
      <c r="A1503" s="785">
        <v>43232</v>
      </c>
      <c r="B1503" t="s">
        <v>4588</v>
      </c>
      <c r="C1503" s="765">
        <v>2561.34</v>
      </c>
      <c r="D1503" s="765">
        <v>2561.34</v>
      </c>
      <c r="E1503" s="765">
        <v>2561.34</v>
      </c>
      <c r="I1503" s="765">
        <v>2561.34</v>
      </c>
    </row>
    <row r="1505" spans="1:9">
      <c r="A1505" t="s">
        <v>4138</v>
      </c>
      <c r="B1505" s="765">
        <v>2561.34</v>
      </c>
      <c r="C1505" s="765">
        <v>2561.34</v>
      </c>
      <c r="D1505">
        <v>0</v>
      </c>
      <c r="E1505">
        <v>0</v>
      </c>
      <c r="F1505">
        <v>0</v>
      </c>
      <c r="G1505" s="765">
        <v>2561.34</v>
      </c>
    </row>
    <row r="1507" spans="1:9">
      <c r="A1507">
        <v>12002</v>
      </c>
      <c r="B1507" t="s">
        <v>3354</v>
      </c>
    </row>
    <row r="1508" spans="1:9">
      <c r="A1508" s="785">
        <v>43954</v>
      </c>
      <c r="B1508" t="s">
        <v>4589</v>
      </c>
      <c r="C1508" s="765">
        <v>4301.82</v>
      </c>
      <c r="D1508" s="765">
        <v>4301.82</v>
      </c>
      <c r="E1508" s="765">
        <v>4301.82</v>
      </c>
      <c r="I1508" s="765">
        <v>4301.82</v>
      </c>
    </row>
    <row r="1509" spans="1:9">
      <c r="A1509" s="785">
        <v>44017</v>
      </c>
      <c r="B1509" t="s">
        <v>4590</v>
      </c>
      <c r="C1509" s="765">
        <v>4301.82</v>
      </c>
      <c r="D1509" s="765">
        <v>4301.82</v>
      </c>
      <c r="E1509" s="765">
        <v>8603.64</v>
      </c>
      <c r="I1509" s="765">
        <v>4301.82</v>
      </c>
    </row>
    <row r="1510" spans="1:9">
      <c r="A1510" s="785">
        <v>44017</v>
      </c>
      <c r="B1510" t="s">
        <v>4591</v>
      </c>
      <c r="C1510" s="765">
        <v>4301.82</v>
      </c>
      <c r="D1510" s="765">
        <v>4301.82</v>
      </c>
      <c r="E1510" s="765">
        <v>12905.46</v>
      </c>
      <c r="I1510" s="765">
        <v>4301.82</v>
      </c>
    </row>
    <row r="1511" spans="1:9">
      <c r="A1511" s="785">
        <v>43896</v>
      </c>
      <c r="B1511" t="s">
        <v>4592</v>
      </c>
      <c r="C1511" s="765">
        <v>4301.82</v>
      </c>
      <c r="D1511" s="765">
        <v>4301.82</v>
      </c>
      <c r="E1511" s="765">
        <v>17207.28</v>
      </c>
      <c r="I1511" s="765">
        <v>4301.82</v>
      </c>
    </row>
    <row r="1512" spans="1:9">
      <c r="A1512" s="785">
        <v>43897</v>
      </c>
      <c r="B1512" t="s">
        <v>4593</v>
      </c>
      <c r="C1512" s="765">
        <v>4301.82</v>
      </c>
      <c r="D1512" s="765">
        <v>4301.82</v>
      </c>
      <c r="E1512" s="765">
        <v>21509.1</v>
      </c>
      <c r="I1512" s="765">
        <v>4301.82</v>
      </c>
    </row>
    <row r="1513" spans="1:9">
      <c r="A1513" s="785">
        <v>43959</v>
      </c>
      <c r="B1513" t="s">
        <v>4594</v>
      </c>
      <c r="C1513" s="765">
        <v>4301.82</v>
      </c>
      <c r="D1513" s="765">
        <v>4301.82</v>
      </c>
      <c r="E1513" s="765">
        <v>25810.92</v>
      </c>
      <c r="I1513" s="765">
        <v>4301.82</v>
      </c>
    </row>
    <row r="1514" spans="1:9">
      <c r="A1514" s="785">
        <v>43899</v>
      </c>
      <c r="B1514" t="s">
        <v>5246</v>
      </c>
      <c r="C1514" s="765">
        <v>4301.3500000000004</v>
      </c>
      <c r="D1514" s="765">
        <v>4301.3500000000004</v>
      </c>
      <c r="E1514" s="765">
        <v>30112.27</v>
      </c>
      <c r="I1514" s="765">
        <v>4301.3500000000004</v>
      </c>
    </row>
    <row r="1515" spans="1:9">
      <c r="A1515" s="785">
        <v>43961</v>
      </c>
      <c r="B1515" t="s">
        <v>5292</v>
      </c>
      <c r="C1515" s="765">
        <v>4301.3500000000004</v>
      </c>
      <c r="D1515" s="765">
        <v>4301.3500000000004</v>
      </c>
      <c r="E1515" s="765">
        <v>34413.620000000003</v>
      </c>
      <c r="I1515" s="765">
        <v>4301.3500000000004</v>
      </c>
    </row>
    <row r="1516" spans="1:9">
      <c r="A1516" s="785">
        <v>43901</v>
      </c>
      <c r="B1516" t="s">
        <v>5336</v>
      </c>
      <c r="C1516" s="765">
        <v>4301.3500000000004</v>
      </c>
      <c r="D1516" s="765">
        <v>4301.3500000000004</v>
      </c>
      <c r="E1516" s="765">
        <v>38714.97</v>
      </c>
      <c r="I1516" s="765">
        <v>4301.3500000000004</v>
      </c>
    </row>
    <row r="1517" spans="1:9">
      <c r="A1517" s="785">
        <v>43873</v>
      </c>
      <c r="B1517" t="s">
        <v>5613</v>
      </c>
      <c r="C1517" s="765">
        <v>4301.3500000000004</v>
      </c>
      <c r="D1517" s="765">
        <v>4301.3500000000004</v>
      </c>
      <c r="E1517" s="765">
        <v>43016.32</v>
      </c>
      <c r="I1517" s="765">
        <v>4301.3500000000004</v>
      </c>
    </row>
    <row r="1518" spans="1:9">
      <c r="A1518" s="785">
        <v>44317</v>
      </c>
      <c r="B1518" t="s">
        <v>5751</v>
      </c>
      <c r="C1518" s="765">
        <v>4301.3500000000004</v>
      </c>
      <c r="D1518" s="765">
        <v>4301.3500000000004</v>
      </c>
      <c r="E1518" s="765">
        <v>47317.67</v>
      </c>
      <c r="I1518" s="765">
        <v>4301.3500000000004</v>
      </c>
    </row>
    <row r="1519" spans="1:9">
      <c r="A1519" s="785">
        <v>44318</v>
      </c>
      <c r="B1519" t="s">
        <v>5884</v>
      </c>
      <c r="C1519" s="765">
        <v>4600.63</v>
      </c>
      <c r="D1519" s="765">
        <v>4600.63</v>
      </c>
      <c r="E1519" s="765">
        <v>51918.3</v>
      </c>
      <c r="I1519" s="765">
        <v>4600.63</v>
      </c>
    </row>
    <row r="1520" spans="1:9">
      <c r="A1520" s="785">
        <v>44258</v>
      </c>
      <c r="B1520" t="s">
        <v>5939</v>
      </c>
      <c r="C1520" s="765">
        <v>4600.63</v>
      </c>
      <c r="D1520" s="765">
        <v>4600.63</v>
      </c>
      <c r="E1520" s="765">
        <v>56518.93</v>
      </c>
      <c r="I1520" s="765">
        <v>4600.63</v>
      </c>
    </row>
    <row r="1521" spans="1:9">
      <c r="A1521" s="785">
        <v>44200</v>
      </c>
      <c r="B1521" t="s">
        <v>6160</v>
      </c>
      <c r="C1521" s="765">
        <v>4600.63</v>
      </c>
      <c r="D1521" s="765">
        <v>4600.63</v>
      </c>
      <c r="E1521" s="765">
        <v>61119.56</v>
      </c>
      <c r="I1521" s="765">
        <v>4600.63</v>
      </c>
    </row>
    <row r="1522" spans="1:9">
      <c r="A1522" s="785">
        <v>44260</v>
      </c>
      <c r="B1522" t="s">
        <v>6226</v>
      </c>
      <c r="C1522" s="765">
        <v>4600.63</v>
      </c>
      <c r="D1522" s="765">
        <v>4600.63</v>
      </c>
      <c r="E1522" s="765">
        <v>65720.19</v>
      </c>
      <c r="I1522" s="765">
        <v>4600.63</v>
      </c>
    </row>
    <row r="1523" spans="1:9">
      <c r="A1523" s="785">
        <v>44202</v>
      </c>
      <c r="B1523" t="s">
        <v>6287</v>
      </c>
      <c r="C1523" s="765">
        <v>4600.63</v>
      </c>
      <c r="D1523" s="765">
        <v>4600.63</v>
      </c>
      <c r="E1523" s="765">
        <v>70320.820000000007</v>
      </c>
      <c r="I1523" s="765">
        <v>4600.63</v>
      </c>
    </row>
    <row r="1524" spans="1:9">
      <c r="A1524" s="785">
        <v>44234</v>
      </c>
      <c r="B1524" t="s">
        <v>6398</v>
      </c>
      <c r="C1524" s="765">
        <v>4600.63</v>
      </c>
      <c r="D1524" s="765">
        <v>4600.63</v>
      </c>
      <c r="E1524" s="765">
        <v>74921.45</v>
      </c>
      <c r="I1524" s="765">
        <v>4600.63</v>
      </c>
    </row>
    <row r="1525" spans="1:9">
      <c r="A1525" s="785">
        <v>44263</v>
      </c>
      <c r="B1525" t="s">
        <v>6495</v>
      </c>
      <c r="C1525" s="765">
        <v>4600.63</v>
      </c>
      <c r="D1525" s="765">
        <v>4600.63</v>
      </c>
      <c r="E1525" s="765">
        <v>79522.080000000002</v>
      </c>
      <c r="I1525" s="765">
        <v>4600.63</v>
      </c>
    </row>
    <row r="1526" spans="1:9">
      <c r="A1526" s="785">
        <v>44356</v>
      </c>
      <c r="B1526" t="s">
        <v>6612</v>
      </c>
      <c r="C1526" s="765">
        <v>4600.63</v>
      </c>
      <c r="D1526" s="765">
        <v>4600.63</v>
      </c>
      <c r="E1526" s="765">
        <v>84122.71</v>
      </c>
      <c r="I1526" s="765">
        <v>4600.63</v>
      </c>
    </row>
    <row r="1527" spans="1:9">
      <c r="A1527" s="785">
        <v>44326</v>
      </c>
      <c r="B1527" t="s">
        <v>6736</v>
      </c>
      <c r="C1527" s="765">
        <v>4600.63</v>
      </c>
      <c r="D1527" s="765">
        <v>4600.63</v>
      </c>
      <c r="E1527" s="765">
        <v>88723.34</v>
      </c>
      <c r="I1527" s="765">
        <v>4600.63</v>
      </c>
    </row>
    <row r="1528" spans="1:9">
      <c r="A1528" s="785">
        <v>44266</v>
      </c>
      <c r="B1528" t="s">
        <v>6915</v>
      </c>
      <c r="C1528" s="765">
        <v>4600.63</v>
      </c>
      <c r="D1528" s="765">
        <v>4600.63</v>
      </c>
      <c r="E1528" s="765">
        <v>93323.97</v>
      </c>
      <c r="I1528" s="765">
        <v>4600.63</v>
      </c>
    </row>
    <row r="1529" spans="1:9">
      <c r="A1529" s="785">
        <v>44267</v>
      </c>
      <c r="B1529" t="s">
        <v>7237</v>
      </c>
      <c r="C1529" s="765">
        <v>4600.63</v>
      </c>
      <c r="D1529" s="765">
        <v>4600.63</v>
      </c>
      <c r="E1529" s="765">
        <v>97924.6</v>
      </c>
      <c r="H1529" s="765">
        <v>4600.63</v>
      </c>
    </row>
    <row r="1531" spans="1:9">
      <c r="A1531" t="s">
        <v>4138</v>
      </c>
      <c r="B1531" s="765">
        <v>97924.6</v>
      </c>
      <c r="C1531" s="765">
        <v>97924.6</v>
      </c>
      <c r="D1531">
        <v>0</v>
      </c>
      <c r="E1531">
        <v>0</v>
      </c>
      <c r="F1531" s="765">
        <v>4600.63</v>
      </c>
      <c r="G1531" s="765">
        <v>93323.97</v>
      </c>
    </row>
    <row r="1533" spans="1:9">
      <c r="A1533">
        <v>12042</v>
      </c>
      <c r="B1533" t="s">
        <v>5780</v>
      </c>
    </row>
    <row r="1534" spans="1:9">
      <c r="A1534" s="785">
        <v>44208</v>
      </c>
      <c r="B1534" t="s">
        <v>7238</v>
      </c>
      <c r="C1534" s="765">
        <v>4370.6000000000004</v>
      </c>
      <c r="D1534" s="765">
        <v>4370.6000000000004</v>
      </c>
      <c r="E1534" s="765">
        <v>4370.6000000000004</v>
      </c>
      <c r="H1534" s="765">
        <v>4370.6000000000004</v>
      </c>
    </row>
    <row r="1536" spans="1:9">
      <c r="A1536" t="s">
        <v>4138</v>
      </c>
      <c r="B1536" s="765">
        <v>4370.6000000000004</v>
      </c>
      <c r="C1536" s="765">
        <v>4370.6000000000004</v>
      </c>
      <c r="D1536">
        <v>0</v>
      </c>
      <c r="E1536">
        <v>0</v>
      </c>
      <c r="F1536" s="765">
        <v>4370.6000000000004</v>
      </c>
      <c r="G1536">
        <v>0</v>
      </c>
    </row>
    <row r="1538" spans="1:9">
      <c r="A1538">
        <v>12089</v>
      </c>
      <c r="B1538" t="s">
        <v>6613</v>
      </c>
    </row>
    <row r="1539" spans="1:9">
      <c r="A1539" s="785">
        <v>44296</v>
      </c>
      <c r="B1539" t="s">
        <v>6737</v>
      </c>
      <c r="C1539" s="765">
        <v>2921.4</v>
      </c>
      <c r="D1539" s="765">
        <v>2921.4</v>
      </c>
      <c r="E1539" s="765">
        <v>2921.4</v>
      </c>
      <c r="I1539" s="765">
        <v>2921.4</v>
      </c>
    </row>
    <row r="1540" spans="1:9">
      <c r="A1540" s="785">
        <v>44208</v>
      </c>
      <c r="B1540" t="s">
        <v>7239</v>
      </c>
      <c r="C1540" s="765">
        <v>2921.4</v>
      </c>
      <c r="D1540" s="765">
        <v>2921.4</v>
      </c>
      <c r="E1540" s="765">
        <v>5842.8</v>
      </c>
      <c r="H1540" s="765">
        <v>2921.4</v>
      </c>
    </row>
    <row r="1542" spans="1:9">
      <c r="A1542" t="s">
        <v>4138</v>
      </c>
      <c r="B1542" s="765">
        <v>5842.8</v>
      </c>
      <c r="C1542" s="765">
        <v>5842.8</v>
      </c>
      <c r="D1542">
        <v>0</v>
      </c>
      <c r="E1542">
        <v>0</v>
      </c>
      <c r="F1542" s="765">
        <v>2921.4</v>
      </c>
      <c r="G1542" s="765">
        <v>2921.4</v>
      </c>
    </row>
    <row r="1544" spans="1:9">
      <c r="A1544">
        <v>2</v>
      </c>
      <c r="B1544" t="s">
        <v>248</v>
      </c>
    </row>
    <row r="1546" spans="1:9">
      <c r="A1546">
        <v>21012</v>
      </c>
      <c r="B1546" t="s">
        <v>6916</v>
      </c>
    </row>
    <row r="1547" spans="1:9">
      <c r="A1547" s="785">
        <v>44266</v>
      </c>
      <c r="B1547" t="s">
        <v>6917</v>
      </c>
      <c r="C1547" s="765">
        <v>1471.68</v>
      </c>
      <c r="D1547" s="765">
        <v>1471.68</v>
      </c>
      <c r="E1547" s="765">
        <v>1471.68</v>
      </c>
      <c r="I1547" s="765">
        <v>1471.68</v>
      </c>
    </row>
    <row r="1548" spans="1:9">
      <c r="A1548" s="785">
        <v>44267</v>
      </c>
      <c r="B1548" t="s">
        <v>7240</v>
      </c>
      <c r="C1548" s="765">
        <v>1392.41</v>
      </c>
      <c r="D1548" s="765">
        <v>1392.41</v>
      </c>
      <c r="E1548" s="765">
        <v>2864.09</v>
      </c>
      <c r="H1548" s="765">
        <v>1392.41</v>
      </c>
    </row>
    <row r="1550" spans="1:9">
      <c r="A1550" t="s">
        <v>4138</v>
      </c>
      <c r="B1550" s="765">
        <v>2864.09</v>
      </c>
      <c r="C1550" s="765">
        <v>2864.09</v>
      </c>
      <c r="D1550">
        <v>0</v>
      </c>
      <c r="E1550">
        <v>0</v>
      </c>
      <c r="F1550" s="765">
        <v>1392.41</v>
      </c>
      <c r="G1550" s="765">
        <v>1471.68</v>
      </c>
    </row>
    <row r="1552" spans="1:9">
      <c r="A1552">
        <v>21017</v>
      </c>
      <c r="B1552" t="s">
        <v>3419</v>
      </c>
    </row>
    <row r="1553" spans="1:9">
      <c r="A1553" s="785">
        <v>43232</v>
      </c>
      <c r="B1553" t="s">
        <v>4595</v>
      </c>
      <c r="C1553" s="765">
        <v>54885.41</v>
      </c>
      <c r="D1553" s="765">
        <v>54885.41</v>
      </c>
      <c r="E1553" s="765">
        <v>54885.41</v>
      </c>
      <c r="I1553" s="765">
        <v>54885.41</v>
      </c>
    </row>
    <row r="1554" spans="1:9">
      <c r="A1554" t="s">
        <v>4316</v>
      </c>
      <c r="B1554" t="s">
        <v>4596</v>
      </c>
      <c r="C1554" s="765">
        <v>34250.800000000003</v>
      </c>
      <c r="D1554" s="765">
        <v>34250.800000000003</v>
      </c>
      <c r="E1554" s="765">
        <v>89136.21</v>
      </c>
      <c r="I1554" s="765">
        <v>34250.800000000003</v>
      </c>
    </row>
    <row r="1555" spans="1:9">
      <c r="A1555" s="785">
        <v>43654</v>
      </c>
      <c r="B1555" t="s">
        <v>4597</v>
      </c>
      <c r="C1555" s="765">
        <v>75040.5</v>
      </c>
      <c r="D1555" s="765">
        <v>75040.5</v>
      </c>
      <c r="E1555" s="765">
        <v>164176.71</v>
      </c>
      <c r="I1555" s="765">
        <v>75040.5</v>
      </c>
    </row>
    <row r="1556" spans="1:9">
      <c r="A1556" s="785">
        <v>43564</v>
      </c>
      <c r="B1556" t="s">
        <v>4598</v>
      </c>
      <c r="C1556" s="765">
        <v>73926.44</v>
      </c>
      <c r="D1556" s="765">
        <v>73926.44</v>
      </c>
      <c r="E1556" s="765">
        <v>238103.15</v>
      </c>
      <c r="I1556" s="765">
        <v>73926.44</v>
      </c>
    </row>
    <row r="1558" spans="1:9">
      <c r="A1558" t="s">
        <v>4138</v>
      </c>
      <c r="B1558" s="765">
        <v>238103.15</v>
      </c>
      <c r="C1558" s="765">
        <v>238103.15</v>
      </c>
      <c r="D1558">
        <v>0</v>
      </c>
      <c r="E1558">
        <v>0</v>
      </c>
      <c r="F1558">
        <v>0</v>
      </c>
      <c r="G1558" s="765">
        <v>238103.15</v>
      </c>
    </row>
    <row r="1560" spans="1:9">
      <c r="A1560">
        <v>21020</v>
      </c>
      <c r="B1560" t="s">
        <v>3420</v>
      </c>
    </row>
    <row r="1561" spans="1:9">
      <c r="A1561" t="s">
        <v>4599</v>
      </c>
      <c r="B1561" t="s">
        <v>4600</v>
      </c>
      <c r="C1561" s="765">
        <v>16294.12</v>
      </c>
      <c r="D1561" s="765">
        <v>16294.12</v>
      </c>
      <c r="E1561" s="765">
        <v>16294.12</v>
      </c>
      <c r="I1561" s="765">
        <v>16294.12</v>
      </c>
    </row>
    <row r="1562" spans="1:9">
      <c r="A1562" t="s">
        <v>4599</v>
      </c>
      <c r="B1562" t="s">
        <v>4601</v>
      </c>
      <c r="C1562" s="765">
        <v>1364.44</v>
      </c>
      <c r="D1562" s="765">
        <v>1364.44</v>
      </c>
      <c r="E1562" s="765">
        <v>17658.560000000001</v>
      </c>
      <c r="I1562" s="765">
        <v>1364.44</v>
      </c>
    </row>
    <row r="1563" spans="1:9">
      <c r="A1563" t="s">
        <v>4599</v>
      </c>
      <c r="B1563" t="s">
        <v>4602</v>
      </c>
      <c r="C1563" s="765">
        <v>1364.44</v>
      </c>
      <c r="D1563" s="765">
        <v>1364.44</v>
      </c>
      <c r="E1563" s="765">
        <v>19023</v>
      </c>
      <c r="I1563" s="765">
        <v>1364.44</v>
      </c>
    </row>
    <row r="1564" spans="1:9">
      <c r="A1564" t="s">
        <v>4599</v>
      </c>
      <c r="B1564" t="s">
        <v>4603</v>
      </c>
      <c r="C1564">
        <v>988.73</v>
      </c>
      <c r="D1564">
        <v>988.73</v>
      </c>
      <c r="E1564" s="765">
        <v>20011.73</v>
      </c>
      <c r="I1564">
        <v>988.73</v>
      </c>
    </row>
    <row r="1565" spans="1:9">
      <c r="A1565" t="s">
        <v>4599</v>
      </c>
      <c r="B1565" t="s">
        <v>4604</v>
      </c>
      <c r="C1565" s="765">
        <v>13940.95</v>
      </c>
      <c r="D1565" s="765">
        <v>13940.95</v>
      </c>
      <c r="E1565" s="765">
        <v>33952.68</v>
      </c>
      <c r="I1565" s="765">
        <v>13940.95</v>
      </c>
    </row>
    <row r="1567" spans="1:9">
      <c r="A1567" t="s">
        <v>4138</v>
      </c>
      <c r="B1567" s="765">
        <v>33952.68</v>
      </c>
      <c r="C1567" s="765">
        <v>33952.68</v>
      </c>
      <c r="D1567">
        <v>0</v>
      </c>
      <c r="E1567">
        <v>0</v>
      </c>
      <c r="F1567">
        <v>0</v>
      </c>
      <c r="G1567" s="765">
        <v>33952.68</v>
      </c>
    </row>
    <row r="1569" spans="1:9">
      <c r="A1569">
        <v>21062</v>
      </c>
      <c r="B1569" t="s">
        <v>3421</v>
      </c>
    </row>
    <row r="1570" spans="1:9">
      <c r="A1570" s="785">
        <v>43232</v>
      </c>
      <c r="B1570" t="s">
        <v>4605</v>
      </c>
      <c r="C1570" s="765">
        <v>32985.64</v>
      </c>
      <c r="D1570" s="765">
        <v>32985.64</v>
      </c>
      <c r="E1570" s="765">
        <v>32985.64</v>
      </c>
      <c r="I1570" s="765">
        <v>32985.64</v>
      </c>
    </row>
    <row r="1572" spans="1:9">
      <c r="A1572" t="s">
        <v>4138</v>
      </c>
      <c r="B1572" s="765">
        <v>32985.64</v>
      </c>
      <c r="C1572" s="765">
        <v>32985.64</v>
      </c>
      <c r="D1572">
        <v>0</v>
      </c>
      <c r="E1572">
        <v>0</v>
      </c>
      <c r="F1572">
        <v>0</v>
      </c>
      <c r="G1572" s="765">
        <v>32985.64</v>
      </c>
    </row>
    <row r="1574" spans="1:9">
      <c r="A1574">
        <v>21066</v>
      </c>
      <c r="B1574" t="s">
        <v>4606</v>
      </c>
    </row>
    <row r="1575" spans="1:9">
      <c r="A1575" s="785">
        <v>43410</v>
      </c>
      <c r="B1575" t="s">
        <v>4607</v>
      </c>
      <c r="C1575" s="765">
        <v>2001.19</v>
      </c>
      <c r="D1575" s="765">
        <v>2001.19</v>
      </c>
      <c r="E1575" s="765">
        <v>2001.19</v>
      </c>
      <c r="I1575" s="765">
        <v>2001.19</v>
      </c>
    </row>
    <row r="1576" spans="1:9">
      <c r="A1576" s="785">
        <v>43383</v>
      </c>
      <c r="B1576" t="s">
        <v>4608</v>
      </c>
      <c r="C1576" s="765">
        <v>2272.5300000000002</v>
      </c>
      <c r="D1576" s="765">
        <v>2272.5300000000002</v>
      </c>
      <c r="E1576" s="765">
        <v>4273.72</v>
      </c>
      <c r="I1576" s="765">
        <v>2272.5300000000002</v>
      </c>
    </row>
    <row r="1578" spans="1:9">
      <c r="A1578" t="s">
        <v>4138</v>
      </c>
      <c r="B1578" s="765">
        <v>4273.72</v>
      </c>
      <c r="C1578" s="765">
        <v>4273.72</v>
      </c>
      <c r="D1578">
        <v>0</v>
      </c>
      <c r="E1578">
        <v>0</v>
      </c>
      <c r="F1578">
        <v>0</v>
      </c>
      <c r="G1578" s="765">
        <v>4273.72</v>
      </c>
    </row>
    <row r="1580" spans="1:9">
      <c r="A1580">
        <v>21073</v>
      </c>
      <c r="B1580" t="s">
        <v>4609</v>
      </c>
    </row>
    <row r="1581" spans="1:9">
      <c r="A1581" s="785">
        <v>43232</v>
      </c>
      <c r="B1581" t="s">
        <v>4610</v>
      </c>
      <c r="C1581" s="765">
        <v>2270.42</v>
      </c>
      <c r="D1581" s="765">
        <v>2270.42</v>
      </c>
      <c r="E1581" s="765">
        <v>2270.42</v>
      </c>
      <c r="I1581" s="765">
        <v>2270.42</v>
      </c>
    </row>
    <row r="1582" spans="1:9">
      <c r="A1582" s="785">
        <v>43232</v>
      </c>
      <c r="B1582" t="s">
        <v>4611</v>
      </c>
      <c r="C1582" s="765">
        <v>1849.75</v>
      </c>
      <c r="D1582" s="765">
        <v>1849.75</v>
      </c>
      <c r="E1582" s="765">
        <v>4120.17</v>
      </c>
      <c r="I1582" s="765">
        <v>1849.75</v>
      </c>
    </row>
    <row r="1583" spans="1:9">
      <c r="A1583" s="785">
        <v>43232</v>
      </c>
      <c r="B1583" t="s">
        <v>4612</v>
      </c>
      <c r="C1583" s="765">
        <v>2467.34</v>
      </c>
      <c r="D1583" s="765">
        <v>2467.34</v>
      </c>
      <c r="E1583" s="765">
        <v>6587.51</v>
      </c>
      <c r="I1583" s="765">
        <v>2467.34</v>
      </c>
    </row>
    <row r="1584" spans="1:9">
      <c r="A1584" s="785">
        <v>43232</v>
      </c>
      <c r="B1584" t="s">
        <v>4613</v>
      </c>
      <c r="C1584" s="765">
        <v>1948.05</v>
      </c>
      <c r="D1584" s="765">
        <v>1948.05</v>
      </c>
      <c r="E1584" s="765">
        <v>8535.56</v>
      </c>
      <c r="I1584" s="765">
        <v>1948.05</v>
      </c>
    </row>
    <row r="1585" spans="1:9">
      <c r="A1585" s="785">
        <v>43232</v>
      </c>
      <c r="B1585" t="s">
        <v>4614</v>
      </c>
      <c r="C1585">
        <v>810.54</v>
      </c>
      <c r="D1585">
        <v>810.54</v>
      </c>
      <c r="E1585" s="765">
        <v>9346.1</v>
      </c>
      <c r="I1585">
        <v>810.54</v>
      </c>
    </row>
    <row r="1586" spans="1:9">
      <c r="A1586" s="785">
        <v>43232</v>
      </c>
      <c r="B1586" t="s">
        <v>4615</v>
      </c>
      <c r="C1586" s="765">
        <v>1363.52</v>
      </c>
      <c r="D1586" s="765">
        <v>1363.52</v>
      </c>
      <c r="E1586" s="765">
        <v>10709.62</v>
      </c>
      <c r="I1586" s="765">
        <v>1363.52</v>
      </c>
    </row>
    <row r="1587" spans="1:9">
      <c r="A1587" s="785">
        <v>43232</v>
      </c>
      <c r="B1587" t="s">
        <v>4616</v>
      </c>
      <c r="C1587" s="765">
        <v>1929.32</v>
      </c>
      <c r="D1587" s="765">
        <v>1929.32</v>
      </c>
      <c r="E1587" s="765">
        <v>12638.94</v>
      </c>
      <c r="I1587" s="765">
        <v>1929.32</v>
      </c>
    </row>
    <row r="1588" spans="1:9">
      <c r="A1588" s="785">
        <v>43232</v>
      </c>
      <c r="B1588" t="s">
        <v>4617</v>
      </c>
      <c r="C1588">
        <v>586.79</v>
      </c>
      <c r="D1588">
        <v>586.79</v>
      </c>
      <c r="E1588" s="765">
        <v>13225.73</v>
      </c>
      <c r="I1588">
        <v>586.79</v>
      </c>
    </row>
    <row r="1589" spans="1:9">
      <c r="A1589" s="785">
        <v>43383</v>
      </c>
      <c r="B1589" t="s">
        <v>4618</v>
      </c>
      <c r="C1589" s="765">
        <v>2980.8</v>
      </c>
      <c r="D1589" s="765">
        <v>2980.8</v>
      </c>
      <c r="E1589" s="765">
        <v>16206.53</v>
      </c>
      <c r="I1589" s="765">
        <v>2980.8</v>
      </c>
    </row>
    <row r="1590" spans="1:9">
      <c r="A1590" s="785">
        <v>43383</v>
      </c>
      <c r="B1590" t="s">
        <v>4619</v>
      </c>
      <c r="C1590">
        <v>949.72</v>
      </c>
      <c r="D1590">
        <v>949.72</v>
      </c>
      <c r="E1590" s="765">
        <v>17156.25</v>
      </c>
      <c r="I1590">
        <v>949.72</v>
      </c>
    </row>
    <row r="1592" spans="1:9">
      <c r="A1592" t="s">
        <v>4138</v>
      </c>
      <c r="B1592" s="765">
        <v>17156.25</v>
      </c>
      <c r="C1592" s="765">
        <v>17156.25</v>
      </c>
      <c r="D1592">
        <v>0</v>
      </c>
      <c r="E1592">
        <v>0</v>
      </c>
      <c r="F1592">
        <v>0</v>
      </c>
      <c r="G1592" s="765">
        <v>17156.25</v>
      </c>
    </row>
    <row r="1594" spans="1:9">
      <c r="A1594">
        <v>21083</v>
      </c>
      <c r="B1594" t="s">
        <v>3422</v>
      </c>
    </row>
    <row r="1595" spans="1:9">
      <c r="A1595" s="785">
        <v>43232</v>
      </c>
      <c r="B1595" t="s">
        <v>4620</v>
      </c>
      <c r="C1595" s="765">
        <v>5133.08</v>
      </c>
      <c r="D1595" s="765">
        <v>5133.08</v>
      </c>
      <c r="E1595" s="765">
        <v>5133.08</v>
      </c>
      <c r="I1595" s="765">
        <v>5133.08</v>
      </c>
    </row>
    <row r="1597" spans="1:9">
      <c r="A1597" t="s">
        <v>4138</v>
      </c>
      <c r="B1597" s="765">
        <v>5133.08</v>
      </c>
      <c r="C1597" s="765">
        <v>5133.08</v>
      </c>
      <c r="D1597">
        <v>0</v>
      </c>
      <c r="E1597">
        <v>0</v>
      </c>
      <c r="F1597">
        <v>0</v>
      </c>
      <c r="G1597" s="765">
        <v>5133.08</v>
      </c>
    </row>
    <row r="1599" spans="1:9">
      <c r="A1599">
        <v>21087</v>
      </c>
      <c r="B1599" t="s">
        <v>1032</v>
      </c>
    </row>
    <row r="1600" spans="1:9">
      <c r="A1600" s="785">
        <v>43232</v>
      </c>
      <c r="B1600" t="s">
        <v>4621</v>
      </c>
      <c r="C1600" s="765">
        <v>10480.43</v>
      </c>
      <c r="D1600" s="765">
        <v>10480.43</v>
      </c>
      <c r="E1600" s="765">
        <v>10480.43</v>
      </c>
      <c r="I1600" s="765">
        <v>10480.43</v>
      </c>
    </row>
    <row r="1601" spans="1:9">
      <c r="A1601" s="785">
        <v>43232</v>
      </c>
      <c r="B1601" t="s">
        <v>4622</v>
      </c>
      <c r="C1601" s="765">
        <v>11335.57</v>
      </c>
      <c r="D1601" s="765">
        <v>11335.57</v>
      </c>
      <c r="E1601" s="765">
        <v>21816</v>
      </c>
      <c r="I1601" s="765">
        <v>11335.57</v>
      </c>
    </row>
    <row r="1602" spans="1:9">
      <c r="A1602" s="785">
        <v>43232</v>
      </c>
      <c r="B1602" t="s">
        <v>4623</v>
      </c>
      <c r="C1602" s="765">
        <v>13431.57</v>
      </c>
      <c r="D1602" s="765">
        <v>13431.57</v>
      </c>
      <c r="E1602" s="765">
        <v>35247.57</v>
      </c>
      <c r="I1602" s="765">
        <v>13431.57</v>
      </c>
    </row>
    <row r="1604" spans="1:9">
      <c r="A1604" t="s">
        <v>4138</v>
      </c>
      <c r="B1604" s="765">
        <v>35247.57</v>
      </c>
      <c r="C1604" s="765">
        <v>35247.57</v>
      </c>
      <c r="D1604">
        <v>0</v>
      </c>
      <c r="E1604">
        <v>0</v>
      </c>
      <c r="F1604">
        <v>0</v>
      </c>
      <c r="G1604" s="765">
        <v>35247.57</v>
      </c>
    </row>
    <row r="1606" spans="1:9">
      <c r="A1606">
        <v>21090</v>
      </c>
      <c r="B1606" t="s">
        <v>1191</v>
      </c>
    </row>
    <row r="1607" spans="1:9">
      <c r="A1607" s="785">
        <v>44267</v>
      </c>
      <c r="B1607" t="s">
        <v>7241</v>
      </c>
      <c r="C1607" s="765">
        <v>4605.9399999999996</v>
      </c>
      <c r="D1607" s="765">
        <v>4605.9399999999996</v>
      </c>
      <c r="E1607" s="765">
        <v>4605.9399999999996</v>
      </c>
      <c r="H1607" s="765">
        <v>4605.9399999999996</v>
      </c>
    </row>
    <row r="1609" spans="1:9">
      <c r="A1609" t="s">
        <v>4138</v>
      </c>
      <c r="B1609" s="765">
        <v>4605.9399999999996</v>
      </c>
      <c r="C1609" s="765">
        <v>4605.9399999999996</v>
      </c>
      <c r="D1609">
        <v>0</v>
      </c>
      <c r="E1609">
        <v>0</v>
      </c>
      <c r="F1609" s="765">
        <v>4605.9399999999996</v>
      </c>
      <c r="G1609">
        <v>0</v>
      </c>
    </row>
    <row r="1611" spans="1:9">
      <c r="A1611">
        <v>21093</v>
      </c>
      <c r="B1611" t="s">
        <v>4624</v>
      </c>
    </row>
    <row r="1612" spans="1:9">
      <c r="A1612" s="785">
        <v>43232</v>
      </c>
      <c r="B1612" t="s">
        <v>4625</v>
      </c>
      <c r="C1612">
        <v>609.80999999999995</v>
      </c>
      <c r="D1612">
        <v>609.80999999999995</v>
      </c>
      <c r="E1612">
        <v>609.80999999999995</v>
      </c>
      <c r="I1612">
        <v>609.80999999999995</v>
      </c>
    </row>
    <row r="1613" spans="1:9">
      <c r="A1613" s="785">
        <v>43232</v>
      </c>
      <c r="B1613" t="s">
        <v>4626</v>
      </c>
      <c r="C1613" s="765">
        <v>2127.9699999999998</v>
      </c>
      <c r="D1613" s="765">
        <v>2127.9699999999998</v>
      </c>
      <c r="E1613" s="765">
        <v>2737.78</v>
      </c>
      <c r="I1613" s="765">
        <v>2127.9699999999998</v>
      </c>
    </row>
    <row r="1614" spans="1:9">
      <c r="A1614" s="785">
        <v>43232</v>
      </c>
      <c r="B1614" t="s">
        <v>4627</v>
      </c>
      <c r="C1614" s="765">
        <v>1043.98</v>
      </c>
      <c r="D1614" s="765">
        <v>1043.98</v>
      </c>
      <c r="E1614" s="765">
        <v>3781.76</v>
      </c>
      <c r="I1614" s="765">
        <v>1043.98</v>
      </c>
    </row>
    <row r="1615" spans="1:9">
      <c r="A1615" s="785">
        <v>43232</v>
      </c>
      <c r="B1615" t="s">
        <v>4628</v>
      </c>
      <c r="C1615" s="765">
        <v>1048.1099999999999</v>
      </c>
      <c r="D1615" s="765">
        <v>1048.1099999999999</v>
      </c>
      <c r="E1615" s="765">
        <v>4829.87</v>
      </c>
      <c r="I1615" s="765">
        <v>1048.1099999999999</v>
      </c>
    </row>
    <row r="1616" spans="1:9">
      <c r="A1616" s="785">
        <v>43232</v>
      </c>
      <c r="B1616" t="s">
        <v>4629</v>
      </c>
      <c r="C1616">
        <v>847.96</v>
      </c>
      <c r="D1616">
        <v>847.96</v>
      </c>
      <c r="E1616" s="765">
        <v>5677.83</v>
      </c>
      <c r="I1616">
        <v>847.96</v>
      </c>
    </row>
    <row r="1617" spans="1:9">
      <c r="A1617" s="785">
        <v>43232</v>
      </c>
      <c r="B1617" t="s">
        <v>4630</v>
      </c>
      <c r="C1617" s="765">
        <v>3566.52</v>
      </c>
      <c r="D1617" s="765">
        <v>3566.52</v>
      </c>
      <c r="E1617" s="765">
        <v>9244.35</v>
      </c>
      <c r="I1617" s="765">
        <v>3566.52</v>
      </c>
    </row>
    <row r="1618" spans="1:9">
      <c r="A1618" s="785">
        <v>43411</v>
      </c>
      <c r="B1618" t="s">
        <v>4631</v>
      </c>
      <c r="C1618" s="765">
        <v>20486.71</v>
      </c>
      <c r="D1618" s="765">
        <v>20486.71</v>
      </c>
      <c r="E1618" s="765">
        <v>29731.06</v>
      </c>
      <c r="I1618" s="765">
        <v>20486.71</v>
      </c>
    </row>
    <row r="1619" spans="1:9">
      <c r="A1619" s="785">
        <v>43383</v>
      </c>
      <c r="B1619" t="s">
        <v>4632</v>
      </c>
      <c r="C1619">
        <v>271.35000000000002</v>
      </c>
      <c r="D1619">
        <v>271.35000000000002</v>
      </c>
      <c r="E1619" s="765">
        <v>30002.41</v>
      </c>
      <c r="I1619">
        <v>271.35000000000002</v>
      </c>
    </row>
    <row r="1621" spans="1:9">
      <c r="A1621" t="s">
        <v>4138</v>
      </c>
      <c r="B1621" s="765">
        <v>30002.41</v>
      </c>
      <c r="C1621" s="765">
        <v>30002.41</v>
      </c>
      <c r="D1621">
        <v>0</v>
      </c>
      <c r="E1621">
        <v>0</v>
      </c>
      <c r="F1621">
        <v>0</v>
      </c>
      <c r="G1621" s="765">
        <v>30002.41</v>
      </c>
    </row>
    <row r="1623" spans="1:9">
      <c r="A1623">
        <v>21096</v>
      </c>
      <c r="B1623" t="s">
        <v>6288</v>
      </c>
    </row>
    <row r="1624" spans="1:9">
      <c r="A1624" s="785">
        <v>44266</v>
      </c>
      <c r="B1624" t="s">
        <v>6918</v>
      </c>
      <c r="C1624" s="765">
        <v>3333.14</v>
      </c>
      <c r="D1624" s="765">
        <v>3333.14</v>
      </c>
      <c r="E1624" s="765">
        <v>3333.14</v>
      </c>
      <c r="I1624" s="765">
        <v>3333.14</v>
      </c>
    </row>
    <row r="1626" spans="1:9">
      <c r="A1626" t="s">
        <v>4138</v>
      </c>
      <c r="B1626" s="765">
        <v>3333.14</v>
      </c>
      <c r="C1626" s="765">
        <v>3333.14</v>
      </c>
      <c r="D1626">
        <v>0</v>
      </c>
      <c r="E1626">
        <v>0</v>
      </c>
      <c r="F1626">
        <v>0</v>
      </c>
      <c r="G1626" s="765">
        <v>3333.14</v>
      </c>
    </row>
    <row r="1628" spans="1:9">
      <c r="A1628">
        <v>3</v>
      </c>
      <c r="B1628" t="s">
        <v>4633</v>
      </c>
    </row>
    <row r="1630" spans="1:9">
      <c r="A1630">
        <v>31009</v>
      </c>
      <c r="B1630" t="s">
        <v>3374</v>
      </c>
    </row>
    <row r="1631" spans="1:9">
      <c r="A1631" s="785">
        <v>43411</v>
      </c>
      <c r="B1631" t="s">
        <v>4634</v>
      </c>
      <c r="C1631" s="765">
        <v>1446.57</v>
      </c>
      <c r="D1631" s="765">
        <v>1446.57</v>
      </c>
      <c r="E1631" s="765">
        <v>1446.57</v>
      </c>
      <c r="I1631" s="765">
        <v>1446.57</v>
      </c>
    </row>
    <row r="1632" spans="1:9">
      <c r="A1632" s="785">
        <v>43202</v>
      </c>
      <c r="B1632" t="s">
        <v>4635</v>
      </c>
      <c r="C1632" s="765">
        <v>1446.57</v>
      </c>
      <c r="D1632" s="765">
        <v>1446.57</v>
      </c>
      <c r="E1632" s="765">
        <v>2893.14</v>
      </c>
      <c r="I1632" s="765">
        <v>1446.57</v>
      </c>
    </row>
    <row r="1633" spans="1:9">
      <c r="A1633" s="785">
        <v>43709</v>
      </c>
      <c r="B1633" t="s">
        <v>4636</v>
      </c>
      <c r="C1633" s="765">
        <v>1017.55</v>
      </c>
      <c r="D1633" s="765">
        <v>1017.55</v>
      </c>
      <c r="E1633" s="765">
        <v>3910.69</v>
      </c>
      <c r="I1633" s="765">
        <v>1017.55</v>
      </c>
    </row>
    <row r="1635" spans="1:9">
      <c r="A1635" t="s">
        <v>4138</v>
      </c>
      <c r="B1635" s="765">
        <v>3910.69</v>
      </c>
      <c r="C1635" s="765">
        <v>3910.69</v>
      </c>
      <c r="D1635">
        <v>0</v>
      </c>
      <c r="E1635">
        <v>0</v>
      </c>
      <c r="F1635">
        <v>0</v>
      </c>
      <c r="G1635" s="765">
        <v>3910.69</v>
      </c>
    </row>
    <row r="1637" spans="1:9">
      <c r="A1637">
        <v>31017</v>
      </c>
      <c r="B1637" t="s">
        <v>3423</v>
      </c>
    </row>
    <row r="1638" spans="1:9">
      <c r="A1638" t="s">
        <v>4317</v>
      </c>
      <c r="B1638" t="s">
        <v>4637</v>
      </c>
      <c r="C1638" s="765">
        <v>2505.23</v>
      </c>
      <c r="D1638" s="765">
        <v>2505.23</v>
      </c>
      <c r="E1638" s="765">
        <v>2505.23</v>
      </c>
      <c r="I1638" s="765">
        <v>2505.23</v>
      </c>
    </row>
    <row r="1640" spans="1:9">
      <c r="A1640" t="s">
        <v>4138</v>
      </c>
      <c r="B1640" s="765">
        <v>2505.23</v>
      </c>
      <c r="C1640" s="765">
        <v>2505.23</v>
      </c>
      <c r="D1640">
        <v>0</v>
      </c>
      <c r="E1640">
        <v>0</v>
      </c>
      <c r="F1640">
        <v>0</v>
      </c>
      <c r="G1640" s="765">
        <v>2505.23</v>
      </c>
    </row>
    <row r="1642" spans="1:9">
      <c r="A1642">
        <v>31024</v>
      </c>
      <c r="B1642" t="s">
        <v>6586</v>
      </c>
    </row>
    <row r="1643" spans="1:9">
      <c r="A1643" s="785">
        <v>44505</v>
      </c>
      <c r="B1643" t="s">
        <v>6227</v>
      </c>
      <c r="C1643" s="765">
        <v>2049.52</v>
      </c>
      <c r="D1643" s="765">
        <v>2049.52</v>
      </c>
      <c r="E1643" s="765">
        <v>2049.52</v>
      </c>
      <c r="I1643" s="765">
        <v>2049.52</v>
      </c>
    </row>
    <row r="1644" spans="1:9">
      <c r="A1644" t="s">
        <v>6614</v>
      </c>
      <c r="B1644" t="s">
        <v>6615</v>
      </c>
      <c r="C1644" s="765">
        <v>2004.69</v>
      </c>
      <c r="D1644" s="765">
        <v>2004.69</v>
      </c>
      <c r="E1644" s="765">
        <v>4054.21</v>
      </c>
      <c r="I1644" s="765">
        <v>2004.69</v>
      </c>
    </row>
    <row r="1645" spans="1:9">
      <c r="A1645" s="785">
        <v>44296</v>
      </c>
      <c r="B1645" t="s">
        <v>6738</v>
      </c>
      <c r="C1645" s="765">
        <v>1983.29</v>
      </c>
      <c r="D1645" s="765">
        <v>1983.29</v>
      </c>
      <c r="E1645" s="765">
        <v>6037.5</v>
      </c>
      <c r="I1645" s="765">
        <v>1983.29</v>
      </c>
    </row>
    <row r="1646" spans="1:9">
      <c r="A1646" t="s">
        <v>6695</v>
      </c>
      <c r="B1646" t="s">
        <v>6739</v>
      </c>
      <c r="C1646" s="765">
        <v>1953.56</v>
      </c>
      <c r="D1646" s="765">
        <v>1953.56</v>
      </c>
      <c r="E1646" s="765">
        <v>7991.06</v>
      </c>
      <c r="I1646" s="765">
        <v>1953.56</v>
      </c>
    </row>
    <row r="1647" spans="1:9">
      <c r="A1647" s="785">
        <v>44267</v>
      </c>
      <c r="B1647" t="s">
        <v>7242</v>
      </c>
      <c r="C1647" s="765">
        <v>2372.5300000000002</v>
      </c>
      <c r="D1647" s="765">
        <v>2372.5300000000002</v>
      </c>
      <c r="E1647" s="765">
        <v>10363.59</v>
      </c>
      <c r="H1647" s="765">
        <v>2372.5300000000002</v>
      </c>
    </row>
    <row r="1649" spans="1:9">
      <c r="A1649" t="s">
        <v>4138</v>
      </c>
      <c r="B1649" s="765">
        <v>10363.59</v>
      </c>
      <c r="C1649" s="765">
        <v>10363.59</v>
      </c>
      <c r="D1649">
        <v>0</v>
      </c>
      <c r="E1649">
        <v>0</v>
      </c>
      <c r="F1649" s="765">
        <v>2372.5300000000002</v>
      </c>
      <c r="G1649" s="765">
        <v>7991.06</v>
      </c>
    </row>
    <row r="1651" spans="1:9">
      <c r="A1651">
        <v>31027</v>
      </c>
      <c r="B1651" t="s">
        <v>1033</v>
      </c>
    </row>
    <row r="1652" spans="1:9">
      <c r="A1652" s="785">
        <v>43232</v>
      </c>
      <c r="B1652" t="s">
        <v>4638</v>
      </c>
      <c r="C1652" s="765">
        <v>12972.41</v>
      </c>
      <c r="D1652" s="765">
        <v>12972.41</v>
      </c>
      <c r="E1652" s="765">
        <v>12972.41</v>
      </c>
      <c r="I1652" s="765">
        <v>12972.41</v>
      </c>
    </row>
    <row r="1653" spans="1:9">
      <c r="A1653" s="785">
        <v>43232</v>
      </c>
      <c r="B1653" t="s">
        <v>4639</v>
      </c>
      <c r="C1653" s="765">
        <v>12636.44</v>
      </c>
      <c r="D1653" s="765">
        <v>12636.44</v>
      </c>
      <c r="E1653" s="765">
        <v>25608.85</v>
      </c>
      <c r="I1653" s="765">
        <v>12636.44</v>
      </c>
    </row>
    <row r="1654" spans="1:9">
      <c r="A1654" s="785">
        <v>43232</v>
      </c>
      <c r="B1654" t="s">
        <v>4640</v>
      </c>
      <c r="C1654" s="765">
        <v>6200.79</v>
      </c>
      <c r="D1654" s="765">
        <v>6200.79</v>
      </c>
      <c r="E1654" s="765">
        <v>31809.64</v>
      </c>
      <c r="I1654" s="765">
        <v>6200.79</v>
      </c>
    </row>
    <row r="1655" spans="1:9">
      <c r="A1655" s="785">
        <v>43232</v>
      </c>
      <c r="B1655" t="s">
        <v>4641</v>
      </c>
      <c r="C1655" s="765">
        <v>4673.05</v>
      </c>
      <c r="D1655" s="765">
        <v>4673.05</v>
      </c>
      <c r="E1655" s="765">
        <v>36482.69</v>
      </c>
      <c r="I1655" s="765">
        <v>4673.05</v>
      </c>
    </row>
    <row r="1656" spans="1:9">
      <c r="A1656" s="785">
        <v>43232</v>
      </c>
      <c r="B1656" t="s">
        <v>4642</v>
      </c>
      <c r="C1656" s="765">
        <v>6200.79</v>
      </c>
      <c r="D1656" s="765">
        <v>6200.79</v>
      </c>
      <c r="E1656" s="765">
        <v>42683.48</v>
      </c>
      <c r="I1656" s="765">
        <v>6200.79</v>
      </c>
    </row>
    <row r="1657" spans="1:9">
      <c r="A1657" s="785">
        <v>43232</v>
      </c>
      <c r="B1657" t="s">
        <v>4643</v>
      </c>
      <c r="C1657" s="765">
        <v>4062.19</v>
      </c>
      <c r="D1657" s="765">
        <v>4062.19</v>
      </c>
      <c r="E1657" s="765">
        <v>46745.67</v>
      </c>
      <c r="I1657" s="765">
        <v>4062.19</v>
      </c>
    </row>
    <row r="1658" spans="1:9">
      <c r="A1658" s="785">
        <v>43232</v>
      </c>
      <c r="B1658" t="s">
        <v>4644</v>
      </c>
      <c r="C1658" s="765">
        <v>6200.79</v>
      </c>
      <c r="D1658" s="765">
        <v>6200.79</v>
      </c>
      <c r="E1658" s="765">
        <v>52946.46</v>
      </c>
      <c r="I1658" s="765">
        <v>6200.79</v>
      </c>
    </row>
    <row r="1659" spans="1:9">
      <c r="A1659" s="785">
        <v>43232</v>
      </c>
      <c r="B1659" t="s">
        <v>4645</v>
      </c>
      <c r="C1659" s="765">
        <v>1701.51</v>
      </c>
      <c r="D1659" s="765">
        <v>1701.51</v>
      </c>
      <c r="E1659" s="765">
        <v>54647.97</v>
      </c>
      <c r="I1659" s="765">
        <v>1701.51</v>
      </c>
    </row>
    <row r="1660" spans="1:9">
      <c r="A1660" s="785">
        <v>43232</v>
      </c>
      <c r="B1660" t="s">
        <v>4646</v>
      </c>
      <c r="C1660" s="765">
        <v>4275.99</v>
      </c>
      <c r="D1660" s="765">
        <v>4275.99</v>
      </c>
      <c r="E1660" s="765">
        <v>58923.96</v>
      </c>
      <c r="I1660" s="765">
        <v>4275.99</v>
      </c>
    </row>
    <row r="1661" spans="1:9">
      <c r="A1661" s="785">
        <v>43232</v>
      </c>
      <c r="B1661" t="s">
        <v>4647</v>
      </c>
      <c r="C1661" s="765">
        <v>6448.82</v>
      </c>
      <c r="D1661" s="765">
        <v>3468.63</v>
      </c>
      <c r="E1661" s="765">
        <v>62392.59</v>
      </c>
      <c r="I1661" s="765">
        <v>3468.63</v>
      </c>
    </row>
    <row r="1662" spans="1:9">
      <c r="A1662" s="785">
        <v>43232</v>
      </c>
      <c r="B1662" t="s">
        <v>4648</v>
      </c>
      <c r="C1662" s="765">
        <v>4573.5600000000004</v>
      </c>
      <c r="D1662" s="765">
        <v>4573.5600000000004</v>
      </c>
      <c r="E1662" s="765">
        <v>66966.149999999994</v>
      </c>
      <c r="I1662" s="765">
        <v>4573.5600000000004</v>
      </c>
    </row>
    <row r="1663" spans="1:9">
      <c r="A1663" s="785">
        <v>43232</v>
      </c>
      <c r="B1663" t="s">
        <v>4649</v>
      </c>
      <c r="C1663" s="765">
        <v>1769.58</v>
      </c>
      <c r="D1663" s="765">
        <v>1769.58</v>
      </c>
      <c r="E1663" s="765">
        <v>68735.73</v>
      </c>
      <c r="I1663" s="765">
        <v>1769.58</v>
      </c>
    </row>
    <row r="1664" spans="1:9">
      <c r="A1664" s="785">
        <v>43232</v>
      </c>
      <c r="B1664" t="s">
        <v>4650</v>
      </c>
      <c r="C1664" s="765">
        <v>4954.68</v>
      </c>
      <c r="D1664" s="765">
        <v>4954.68</v>
      </c>
      <c r="E1664" s="765">
        <v>73690.41</v>
      </c>
      <c r="I1664" s="765">
        <v>4954.68</v>
      </c>
    </row>
    <row r="1665" spans="1:9">
      <c r="A1665" s="785">
        <v>43232</v>
      </c>
      <c r="B1665" t="s">
        <v>4651</v>
      </c>
      <c r="C1665" s="765">
        <v>1769.58</v>
      </c>
      <c r="D1665" s="765">
        <v>1769.58</v>
      </c>
      <c r="E1665" s="765">
        <v>75459.990000000005</v>
      </c>
      <c r="I1665" s="765">
        <v>1769.58</v>
      </c>
    </row>
    <row r="1666" spans="1:9">
      <c r="A1666" s="785">
        <v>43232</v>
      </c>
      <c r="B1666" t="s">
        <v>4652</v>
      </c>
      <c r="C1666" s="765">
        <v>4287.71</v>
      </c>
      <c r="D1666" s="765">
        <v>4287.71</v>
      </c>
      <c r="E1666" s="765">
        <v>79747.7</v>
      </c>
      <c r="I1666" s="765">
        <v>4287.71</v>
      </c>
    </row>
    <row r="1667" spans="1:9">
      <c r="A1667" s="785">
        <v>43232</v>
      </c>
      <c r="B1667" t="s">
        <v>4653</v>
      </c>
      <c r="C1667" s="765">
        <v>1769.58</v>
      </c>
      <c r="D1667" s="765">
        <v>1769.58</v>
      </c>
      <c r="E1667" s="765">
        <v>81517.279999999999</v>
      </c>
      <c r="I1667" s="765">
        <v>1769.58</v>
      </c>
    </row>
    <row r="1668" spans="1:9">
      <c r="A1668" s="785">
        <v>43232</v>
      </c>
      <c r="B1668" t="s">
        <v>4654</v>
      </c>
      <c r="C1668" s="765">
        <v>4192.43</v>
      </c>
      <c r="D1668" s="765">
        <v>4192.43</v>
      </c>
      <c r="E1668" s="765">
        <v>85709.71</v>
      </c>
      <c r="I1668" s="765">
        <v>4192.43</v>
      </c>
    </row>
    <row r="1669" spans="1:9">
      <c r="A1669" s="785">
        <v>43232</v>
      </c>
      <c r="B1669" t="s">
        <v>4655</v>
      </c>
      <c r="C1669" s="765">
        <v>6448.82</v>
      </c>
      <c r="D1669" s="765">
        <v>6448.82</v>
      </c>
      <c r="E1669" s="765">
        <v>92158.53</v>
      </c>
      <c r="I1669" s="765">
        <v>6448.82</v>
      </c>
    </row>
    <row r="1670" spans="1:9">
      <c r="A1670" s="785">
        <v>43232</v>
      </c>
      <c r="B1670" t="s">
        <v>4656</v>
      </c>
      <c r="C1670" s="765">
        <v>1769.58</v>
      </c>
      <c r="D1670" s="765">
        <v>1769.58</v>
      </c>
      <c r="E1670" s="765">
        <v>93928.11</v>
      </c>
      <c r="I1670" s="765">
        <v>1769.58</v>
      </c>
    </row>
    <row r="1671" spans="1:9">
      <c r="A1671" s="785">
        <v>43232</v>
      </c>
      <c r="B1671" t="s">
        <v>4657</v>
      </c>
      <c r="C1671" s="765">
        <v>12442.59</v>
      </c>
      <c r="D1671" s="765">
        <v>12442.59</v>
      </c>
      <c r="E1671" s="765">
        <v>106370.7</v>
      </c>
      <c r="I1671" s="765">
        <v>12442.59</v>
      </c>
    </row>
    <row r="1672" spans="1:9">
      <c r="A1672" s="785">
        <v>43232</v>
      </c>
      <c r="B1672" t="s">
        <v>4658</v>
      </c>
      <c r="C1672" s="765">
        <v>1390.93</v>
      </c>
      <c r="D1672" s="765">
        <v>1390.93</v>
      </c>
      <c r="E1672" s="765">
        <v>107761.63</v>
      </c>
      <c r="I1672" s="765">
        <v>1390.93</v>
      </c>
    </row>
    <row r="1673" spans="1:9">
      <c r="A1673" s="785">
        <v>43259</v>
      </c>
      <c r="B1673" t="s">
        <v>4659</v>
      </c>
      <c r="C1673">
        <v>791.25</v>
      </c>
      <c r="D1673">
        <v>791.25</v>
      </c>
      <c r="E1673" s="765">
        <v>108552.88</v>
      </c>
      <c r="I1673">
        <v>791.25</v>
      </c>
    </row>
    <row r="1674" spans="1:9">
      <c r="A1674" s="785">
        <v>43259</v>
      </c>
      <c r="B1674" t="s">
        <v>4660</v>
      </c>
      <c r="C1674" s="765">
        <v>1390.93</v>
      </c>
      <c r="D1674" s="765">
        <v>1390.93</v>
      </c>
      <c r="E1674" s="765">
        <v>109943.81</v>
      </c>
      <c r="I1674" s="765">
        <v>1390.93</v>
      </c>
    </row>
    <row r="1675" spans="1:9">
      <c r="A1675" s="785">
        <v>43259</v>
      </c>
      <c r="B1675" t="s">
        <v>4661</v>
      </c>
      <c r="C1675" s="765">
        <v>3256.17</v>
      </c>
      <c r="D1675" s="765">
        <v>3256.17</v>
      </c>
      <c r="E1675" s="765">
        <v>113199.98</v>
      </c>
      <c r="I1675" s="765">
        <v>3256.17</v>
      </c>
    </row>
    <row r="1676" spans="1:9">
      <c r="A1676" s="785">
        <v>43444</v>
      </c>
      <c r="B1676" t="s">
        <v>4662</v>
      </c>
      <c r="C1676">
        <v>791.25</v>
      </c>
      <c r="D1676">
        <v>791.25</v>
      </c>
      <c r="E1676" s="765">
        <v>113991.23</v>
      </c>
      <c r="I1676">
        <v>791.25</v>
      </c>
    </row>
    <row r="1677" spans="1:9">
      <c r="A1677" s="785">
        <v>43444</v>
      </c>
      <c r="B1677" t="s">
        <v>4663</v>
      </c>
      <c r="C1677" s="765">
        <v>1390.93</v>
      </c>
      <c r="D1677" s="765">
        <v>1390.93</v>
      </c>
      <c r="E1677" s="765">
        <v>115382.16</v>
      </c>
      <c r="I1677" s="765">
        <v>1390.93</v>
      </c>
    </row>
    <row r="1678" spans="1:9">
      <c r="A1678" s="785">
        <v>43444</v>
      </c>
      <c r="B1678" t="s">
        <v>4664</v>
      </c>
      <c r="C1678" s="765">
        <v>3052.66</v>
      </c>
      <c r="D1678" s="765">
        <v>3052.66</v>
      </c>
      <c r="E1678" s="765">
        <v>118434.82</v>
      </c>
      <c r="I1678" s="765">
        <v>3052.66</v>
      </c>
    </row>
    <row r="1679" spans="1:9">
      <c r="A1679" s="785">
        <v>43292</v>
      </c>
      <c r="B1679" t="s">
        <v>4665</v>
      </c>
      <c r="C1679">
        <v>791.25</v>
      </c>
      <c r="D1679">
        <v>791.25</v>
      </c>
      <c r="E1679" s="765">
        <v>119226.07</v>
      </c>
      <c r="I1679">
        <v>791.25</v>
      </c>
    </row>
    <row r="1680" spans="1:9">
      <c r="A1680" s="785">
        <v>43292</v>
      </c>
      <c r="B1680" t="s">
        <v>4666</v>
      </c>
      <c r="C1680" s="765">
        <v>1390.93</v>
      </c>
      <c r="D1680" s="765">
        <v>1390.93</v>
      </c>
      <c r="E1680" s="765">
        <v>120617</v>
      </c>
      <c r="I1680" s="765">
        <v>1390.93</v>
      </c>
    </row>
    <row r="1681" spans="1:9">
      <c r="A1681" s="785">
        <v>43292</v>
      </c>
      <c r="B1681" t="s">
        <v>4667</v>
      </c>
      <c r="C1681" s="765">
        <v>3086.57</v>
      </c>
      <c r="D1681" s="765">
        <v>3086.57</v>
      </c>
      <c r="E1681" s="765">
        <v>123703.57</v>
      </c>
      <c r="I1681" s="765">
        <v>3086.57</v>
      </c>
    </row>
    <row r="1682" spans="1:9">
      <c r="A1682" s="785">
        <v>43202</v>
      </c>
      <c r="B1682" t="s">
        <v>4668</v>
      </c>
      <c r="C1682">
        <v>791.25</v>
      </c>
      <c r="D1682">
        <v>791.25</v>
      </c>
      <c r="E1682" s="765">
        <v>124494.82</v>
      </c>
      <c r="I1682">
        <v>791.25</v>
      </c>
    </row>
    <row r="1683" spans="1:9">
      <c r="A1683" s="785">
        <v>43202</v>
      </c>
      <c r="B1683" t="s">
        <v>4669</v>
      </c>
      <c r="C1683" s="765">
        <v>1390.93</v>
      </c>
      <c r="D1683" s="765">
        <v>1390.93</v>
      </c>
      <c r="E1683" s="765">
        <v>125885.75</v>
      </c>
      <c r="I1683" s="765">
        <v>1390.93</v>
      </c>
    </row>
    <row r="1684" spans="1:9">
      <c r="A1684" s="785">
        <v>43202</v>
      </c>
      <c r="B1684" t="s">
        <v>4670</v>
      </c>
      <c r="C1684" s="765">
        <v>2577.8000000000002</v>
      </c>
      <c r="D1684" s="765">
        <v>2577.8000000000002</v>
      </c>
      <c r="E1684" s="765">
        <v>128463.55</v>
      </c>
      <c r="I1684" s="765">
        <v>2577.8000000000002</v>
      </c>
    </row>
    <row r="1685" spans="1:9">
      <c r="A1685" s="785">
        <v>43679</v>
      </c>
      <c r="B1685" t="s">
        <v>4671</v>
      </c>
      <c r="C1685" s="765">
        <v>1530.94</v>
      </c>
      <c r="D1685" s="765">
        <v>1530.94</v>
      </c>
      <c r="E1685" s="765">
        <v>129994.49</v>
      </c>
      <c r="I1685" s="765">
        <v>1530.94</v>
      </c>
    </row>
    <row r="1686" spans="1:9">
      <c r="A1686" s="785">
        <v>43717</v>
      </c>
      <c r="B1686" t="s">
        <v>4672</v>
      </c>
      <c r="C1686" s="765">
        <v>1530.94</v>
      </c>
      <c r="D1686" s="765">
        <v>1530.94</v>
      </c>
      <c r="E1686" s="765">
        <v>131525.43</v>
      </c>
      <c r="I1686" s="765">
        <v>1530.94</v>
      </c>
    </row>
    <row r="1687" spans="1:9">
      <c r="A1687" s="785">
        <v>43597</v>
      </c>
      <c r="B1687" t="s">
        <v>4673</v>
      </c>
      <c r="C1687" s="765">
        <v>1530.94</v>
      </c>
      <c r="D1687" s="765">
        <v>1530.94</v>
      </c>
      <c r="E1687" s="765">
        <v>133056.37</v>
      </c>
      <c r="I1687" s="765">
        <v>1530.94</v>
      </c>
    </row>
    <row r="1688" spans="1:9">
      <c r="A1688" s="785">
        <v>43597</v>
      </c>
      <c r="B1688" t="s">
        <v>4674</v>
      </c>
      <c r="C1688" s="765">
        <v>1149.46</v>
      </c>
      <c r="D1688" s="765">
        <v>1149.46</v>
      </c>
      <c r="E1688" s="765">
        <v>134205.82999999999</v>
      </c>
      <c r="I1688" s="765">
        <v>1149.46</v>
      </c>
    </row>
    <row r="1689" spans="1:9">
      <c r="A1689" s="785">
        <v>43983</v>
      </c>
      <c r="B1689" t="s">
        <v>4675</v>
      </c>
      <c r="C1689" s="765">
        <v>1149.46</v>
      </c>
      <c r="D1689" s="765">
        <v>1149.46</v>
      </c>
      <c r="E1689" s="765">
        <v>135355.29</v>
      </c>
      <c r="I1689" s="765">
        <v>1149.46</v>
      </c>
    </row>
    <row r="1690" spans="1:9">
      <c r="A1690" s="785">
        <v>43953</v>
      </c>
      <c r="B1690" t="s">
        <v>4676</v>
      </c>
      <c r="C1690" s="765">
        <v>1632.26</v>
      </c>
      <c r="D1690" s="765">
        <v>1632.26</v>
      </c>
      <c r="E1690" s="765">
        <v>136987.54999999999</v>
      </c>
      <c r="I1690" s="765">
        <v>1632.26</v>
      </c>
    </row>
    <row r="1691" spans="1:9">
      <c r="A1691" s="785">
        <v>43953</v>
      </c>
      <c r="B1691" t="s">
        <v>4677</v>
      </c>
      <c r="C1691" s="765">
        <v>1149.46</v>
      </c>
      <c r="D1691" s="765">
        <v>1149.46</v>
      </c>
      <c r="E1691" s="765">
        <v>138137.01</v>
      </c>
      <c r="I1691" s="765">
        <v>1149.46</v>
      </c>
    </row>
    <row r="1692" spans="1:9">
      <c r="A1692" s="785">
        <v>43893</v>
      </c>
      <c r="B1692" t="s">
        <v>4678</v>
      </c>
      <c r="C1692" s="765">
        <v>1632.26</v>
      </c>
      <c r="D1692" s="765">
        <v>1632.26</v>
      </c>
      <c r="E1692" s="765">
        <v>139769.26999999999</v>
      </c>
      <c r="I1692" s="765">
        <v>1632.26</v>
      </c>
    </row>
    <row r="1693" spans="1:9">
      <c r="A1693" s="785">
        <v>43893</v>
      </c>
      <c r="B1693" t="s">
        <v>4679</v>
      </c>
      <c r="C1693" s="765">
        <v>1149.46</v>
      </c>
      <c r="D1693" s="765">
        <v>1149.46</v>
      </c>
      <c r="E1693" s="765">
        <v>140918.73000000001</v>
      </c>
      <c r="I1693" s="765">
        <v>1149.46</v>
      </c>
    </row>
    <row r="1694" spans="1:9">
      <c r="A1694" t="s">
        <v>4377</v>
      </c>
      <c r="B1694" t="s">
        <v>4680</v>
      </c>
      <c r="C1694" s="765">
        <v>11776.88</v>
      </c>
      <c r="D1694" s="765">
        <v>11776.88</v>
      </c>
      <c r="E1694" s="765">
        <v>152695.60999999999</v>
      </c>
      <c r="I1694" s="765">
        <v>11776.88</v>
      </c>
    </row>
    <row r="1695" spans="1:9">
      <c r="A1695" t="s">
        <v>4377</v>
      </c>
      <c r="B1695" t="s">
        <v>4681</v>
      </c>
      <c r="C1695" s="765">
        <v>5098.41</v>
      </c>
      <c r="D1695" s="765">
        <v>5098.41</v>
      </c>
      <c r="E1695" s="765">
        <v>157794.01999999999</v>
      </c>
      <c r="I1695" s="765">
        <v>5098.41</v>
      </c>
    </row>
    <row r="1696" spans="1:9">
      <c r="A1696" s="785">
        <v>43898</v>
      </c>
      <c r="B1696" t="s">
        <v>4682</v>
      </c>
      <c r="C1696" s="765">
        <v>14460.64</v>
      </c>
      <c r="D1696" s="765">
        <v>14460.64</v>
      </c>
      <c r="E1696" s="765">
        <v>172254.66</v>
      </c>
      <c r="I1696" s="765">
        <v>14460.64</v>
      </c>
    </row>
    <row r="1697" spans="1:9">
      <c r="A1697" s="785">
        <v>44318</v>
      </c>
      <c r="B1697" t="s">
        <v>5885</v>
      </c>
      <c r="C1697" s="765">
        <v>1727.81</v>
      </c>
      <c r="D1697" s="765">
        <v>1727.81</v>
      </c>
      <c r="E1697" s="765">
        <v>173982.47</v>
      </c>
      <c r="I1697" s="765">
        <v>1727.81</v>
      </c>
    </row>
    <row r="1698" spans="1:9">
      <c r="A1698" s="785">
        <v>44234</v>
      </c>
      <c r="B1698" t="s">
        <v>6399</v>
      </c>
      <c r="C1698" s="765">
        <v>1727.81</v>
      </c>
      <c r="D1698" s="765">
        <v>1727.81</v>
      </c>
      <c r="E1698" s="765">
        <v>175710.28</v>
      </c>
      <c r="I1698" s="765">
        <v>1727.81</v>
      </c>
    </row>
    <row r="1699" spans="1:9">
      <c r="A1699" t="s">
        <v>6479</v>
      </c>
      <c r="B1699" t="s">
        <v>6496</v>
      </c>
      <c r="C1699" s="765">
        <v>19879.47</v>
      </c>
      <c r="D1699" s="765">
        <v>19879.47</v>
      </c>
      <c r="E1699" s="765">
        <v>195589.75</v>
      </c>
      <c r="I1699" s="765">
        <v>19879.47</v>
      </c>
    </row>
    <row r="1700" spans="1:9">
      <c r="A1700" s="785">
        <v>44356</v>
      </c>
      <c r="B1700" t="s">
        <v>6616</v>
      </c>
      <c r="C1700" s="765">
        <v>1727.81</v>
      </c>
      <c r="D1700" s="765">
        <v>1727.81</v>
      </c>
      <c r="E1700" s="765">
        <v>197317.56</v>
      </c>
      <c r="I1700" s="765">
        <v>1727.81</v>
      </c>
    </row>
    <row r="1701" spans="1:9">
      <c r="A1701" s="785">
        <v>44296</v>
      </c>
      <c r="B1701" t="s">
        <v>6740</v>
      </c>
      <c r="C1701" s="765">
        <v>1727.81</v>
      </c>
      <c r="D1701" s="765">
        <v>1727.81</v>
      </c>
      <c r="E1701" s="765">
        <v>199045.37</v>
      </c>
      <c r="I1701" s="765">
        <v>1727.81</v>
      </c>
    </row>
    <row r="1702" spans="1:9">
      <c r="A1702" s="785">
        <v>44296</v>
      </c>
      <c r="B1702" t="s">
        <v>6741</v>
      </c>
      <c r="C1702" s="765">
        <v>1508.52</v>
      </c>
      <c r="D1702" s="765">
        <v>1508.52</v>
      </c>
      <c r="E1702" s="765">
        <v>200553.89</v>
      </c>
      <c r="I1702" s="765">
        <v>1508.52</v>
      </c>
    </row>
    <row r="1703" spans="1:9">
      <c r="A1703" s="785">
        <v>44207</v>
      </c>
      <c r="B1703" t="s">
        <v>6919</v>
      </c>
      <c r="C1703" s="765">
        <v>1727.81</v>
      </c>
      <c r="D1703" s="765">
        <v>1727.81</v>
      </c>
      <c r="E1703" s="765">
        <v>202281.7</v>
      </c>
      <c r="I1703" s="765">
        <v>1727.81</v>
      </c>
    </row>
    <row r="1704" spans="1:9">
      <c r="A1704" s="785">
        <v>44207</v>
      </c>
      <c r="B1704" t="s">
        <v>6920</v>
      </c>
      <c r="C1704" s="765">
        <v>1508.52</v>
      </c>
      <c r="D1704" s="765">
        <v>1508.52</v>
      </c>
      <c r="E1704" s="765">
        <v>203790.22</v>
      </c>
      <c r="I1704" s="765">
        <v>1508.52</v>
      </c>
    </row>
    <row r="1705" spans="1:9">
      <c r="A1705" s="785">
        <v>44267</v>
      </c>
      <c r="B1705" t="s">
        <v>7243</v>
      </c>
      <c r="C1705" s="765">
        <v>1727.81</v>
      </c>
      <c r="D1705" s="765">
        <v>1727.81</v>
      </c>
      <c r="E1705" s="765">
        <v>205518.03</v>
      </c>
      <c r="H1705" s="765">
        <v>1727.81</v>
      </c>
    </row>
    <row r="1706" spans="1:9">
      <c r="A1706" s="785">
        <v>44267</v>
      </c>
      <c r="B1706" t="s">
        <v>7244</v>
      </c>
      <c r="C1706" s="765">
        <v>1508.52</v>
      </c>
      <c r="D1706" s="765">
        <v>1508.52</v>
      </c>
      <c r="E1706" s="765">
        <v>207026.55</v>
      </c>
      <c r="H1706" s="765">
        <v>1508.52</v>
      </c>
    </row>
    <row r="1708" spans="1:9">
      <c r="A1708" t="s">
        <v>4138</v>
      </c>
      <c r="B1708" s="765">
        <v>210006.74</v>
      </c>
      <c r="C1708" s="765">
        <v>207026.55</v>
      </c>
      <c r="D1708">
        <v>0</v>
      </c>
      <c r="E1708">
        <v>0</v>
      </c>
      <c r="F1708" s="765">
        <v>3236.33</v>
      </c>
      <c r="G1708" s="765">
        <v>203790.22</v>
      </c>
    </row>
    <row r="1710" spans="1:9">
      <c r="A1710">
        <v>31030</v>
      </c>
      <c r="B1710" t="s">
        <v>3424</v>
      </c>
    </row>
    <row r="1711" spans="1:9">
      <c r="A1711" t="s">
        <v>4301</v>
      </c>
      <c r="B1711" t="s">
        <v>4683</v>
      </c>
      <c r="C1711" s="765">
        <v>5362</v>
      </c>
      <c r="D1711" s="765">
        <v>5362</v>
      </c>
      <c r="E1711" s="765">
        <v>5362</v>
      </c>
      <c r="I1711" s="765">
        <v>5362</v>
      </c>
    </row>
    <row r="1712" spans="1:9">
      <c r="A1712" s="785">
        <v>44048</v>
      </c>
      <c r="B1712" t="s">
        <v>4684</v>
      </c>
      <c r="C1712" s="765">
        <v>4570.08</v>
      </c>
      <c r="D1712" s="765">
        <v>4570.08</v>
      </c>
      <c r="E1712" s="765">
        <v>9932.08</v>
      </c>
      <c r="I1712" s="765">
        <v>4570.08</v>
      </c>
    </row>
    <row r="1713" spans="1:9">
      <c r="A1713" s="785">
        <v>44296</v>
      </c>
      <c r="B1713" t="s">
        <v>6742</v>
      </c>
      <c r="C1713" s="765">
        <v>6226.93</v>
      </c>
      <c r="D1713" s="765">
        <v>6226.93</v>
      </c>
      <c r="E1713" s="765">
        <v>16159.01</v>
      </c>
      <c r="I1713" s="765">
        <v>6226.93</v>
      </c>
    </row>
    <row r="1714" spans="1:9">
      <c r="A1714" s="785">
        <v>44207</v>
      </c>
      <c r="B1714" t="s">
        <v>6921</v>
      </c>
      <c r="C1714" s="765">
        <v>9413.76</v>
      </c>
      <c r="D1714" s="765">
        <v>9413.76</v>
      </c>
      <c r="E1714" s="765">
        <v>25572.77</v>
      </c>
      <c r="I1714" s="765">
        <v>9413.76</v>
      </c>
    </row>
    <row r="1715" spans="1:9">
      <c r="A1715" s="785">
        <v>44267</v>
      </c>
      <c r="B1715" t="s">
        <v>7245</v>
      </c>
      <c r="C1715" s="765">
        <v>8631.7199999999993</v>
      </c>
      <c r="D1715" s="765">
        <v>8631.7199999999993</v>
      </c>
      <c r="E1715" s="765">
        <v>34204.49</v>
      </c>
      <c r="H1715" s="765">
        <v>8631.7199999999993</v>
      </c>
    </row>
    <row r="1717" spans="1:9">
      <c r="A1717" t="s">
        <v>4138</v>
      </c>
      <c r="B1717" s="765">
        <v>34204.49</v>
      </c>
      <c r="C1717" s="765">
        <v>34204.49</v>
      </c>
      <c r="D1717">
        <v>0</v>
      </c>
      <c r="E1717">
        <v>0</v>
      </c>
      <c r="F1717" s="765">
        <v>8631.7199999999993</v>
      </c>
      <c r="G1717" s="765">
        <v>25572.77</v>
      </c>
    </row>
    <row r="1719" spans="1:9">
      <c r="A1719">
        <v>31031</v>
      </c>
      <c r="B1719" t="s">
        <v>3425</v>
      </c>
    </row>
    <row r="1720" spans="1:9">
      <c r="A1720" t="s">
        <v>4334</v>
      </c>
      <c r="B1720" t="s">
        <v>4686</v>
      </c>
      <c r="C1720">
        <v>135.66999999999999</v>
      </c>
      <c r="D1720">
        <v>135.66999999999999</v>
      </c>
      <c r="E1720">
        <v>135.66999999999999</v>
      </c>
      <c r="I1720">
        <v>135.66999999999999</v>
      </c>
    </row>
    <row r="1721" spans="1:9">
      <c r="A1721" s="785">
        <v>43230</v>
      </c>
      <c r="B1721" t="s">
        <v>4685</v>
      </c>
      <c r="C1721" s="765">
        <v>37221.29</v>
      </c>
      <c r="D1721" s="765">
        <v>37221.29</v>
      </c>
      <c r="E1721" s="765">
        <v>37356.959999999999</v>
      </c>
      <c r="I1721" s="765">
        <v>37221.29</v>
      </c>
    </row>
    <row r="1722" spans="1:9">
      <c r="A1722" s="785">
        <v>43414</v>
      </c>
      <c r="B1722" t="s">
        <v>4687</v>
      </c>
      <c r="C1722" s="765">
        <v>9645.6299999999992</v>
      </c>
      <c r="D1722" s="765">
        <v>9645.6299999999992</v>
      </c>
      <c r="E1722" s="765">
        <v>47002.59</v>
      </c>
      <c r="I1722" s="765">
        <v>9645.6299999999992</v>
      </c>
    </row>
    <row r="1723" spans="1:9">
      <c r="A1723" s="785">
        <v>43231</v>
      </c>
      <c r="B1723" t="s">
        <v>4688</v>
      </c>
      <c r="C1723" s="765">
        <v>13500.11</v>
      </c>
      <c r="D1723" s="765">
        <v>13500.11</v>
      </c>
      <c r="E1723" s="765">
        <v>60502.7</v>
      </c>
      <c r="I1723" s="765">
        <v>13500.11</v>
      </c>
    </row>
    <row r="1724" spans="1:9">
      <c r="A1724" s="785">
        <v>43202</v>
      </c>
      <c r="B1724" t="s">
        <v>4689</v>
      </c>
      <c r="C1724" s="765">
        <v>13534.03</v>
      </c>
      <c r="D1724" s="765">
        <v>13534.03</v>
      </c>
      <c r="E1724" s="765">
        <v>74036.73</v>
      </c>
      <c r="I1724" s="765">
        <v>13534.03</v>
      </c>
    </row>
    <row r="1725" spans="1:9">
      <c r="A1725" s="785">
        <v>43709</v>
      </c>
      <c r="B1725" t="s">
        <v>4690</v>
      </c>
      <c r="C1725" s="765">
        <v>9476.0300000000007</v>
      </c>
      <c r="D1725" s="765">
        <v>9476.0300000000007</v>
      </c>
      <c r="E1725" s="765">
        <v>83512.759999999995</v>
      </c>
      <c r="I1725" s="765">
        <v>9476.0300000000007</v>
      </c>
    </row>
    <row r="1726" spans="1:9">
      <c r="A1726" s="785">
        <v>43679</v>
      </c>
      <c r="B1726" t="s">
        <v>4691</v>
      </c>
      <c r="C1726" s="765">
        <v>14420.11</v>
      </c>
      <c r="D1726" s="765">
        <v>14420.11</v>
      </c>
      <c r="E1726" s="765">
        <v>97932.87</v>
      </c>
      <c r="I1726" s="765">
        <v>14420.11</v>
      </c>
    </row>
    <row r="1727" spans="1:9">
      <c r="A1727" s="785">
        <v>43588</v>
      </c>
      <c r="B1727" t="s">
        <v>4692</v>
      </c>
      <c r="C1727" s="765">
        <v>14707.7</v>
      </c>
      <c r="D1727" s="765">
        <v>14707.7</v>
      </c>
      <c r="E1727" s="765">
        <v>112640.57</v>
      </c>
      <c r="I1727" s="765">
        <v>14707.7</v>
      </c>
    </row>
    <row r="1728" spans="1:9">
      <c r="A1728" s="785">
        <v>43712</v>
      </c>
      <c r="B1728" t="s">
        <v>4693</v>
      </c>
      <c r="C1728" s="765">
        <v>14815.54</v>
      </c>
      <c r="D1728" s="765">
        <v>14815.54</v>
      </c>
      <c r="E1728" s="765">
        <v>127456.11</v>
      </c>
      <c r="I1728" s="765">
        <v>14815.54</v>
      </c>
    </row>
    <row r="1729" spans="1:9">
      <c r="A1729" s="785">
        <v>43651</v>
      </c>
      <c r="B1729" t="s">
        <v>4694</v>
      </c>
      <c r="C1729" s="765">
        <v>14671.75</v>
      </c>
      <c r="D1729" s="765">
        <v>14671.75</v>
      </c>
      <c r="E1729" s="765">
        <v>142127.85999999999</v>
      </c>
      <c r="I1729" s="765">
        <v>14671.75</v>
      </c>
    </row>
    <row r="1730" spans="1:9">
      <c r="A1730" s="785">
        <v>43561</v>
      </c>
      <c r="B1730" t="s">
        <v>4695</v>
      </c>
      <c r="C1730" s="765">
        <v>14779.59</v>
      </c>
      <c r="D1730" s="765">
        <v>14779.59</v>
      </c>
      <c r="E1730" s="765">
        <v>156907.45000000001</v>
      </c>
      <c r="I1730" s="765">
        <v>14779.59</v>
      </c>
    </row>
    <row r="1731" spans="1:9">
      <c r="A1731" s="785">
        <v>43503</v>
      </c>
      <c r="B1731" t="s">
        <v>4696</v>
      </c>
      <c r="C1731" s="765">
        <v>14815.54</v>
      </c>
      <c r="D1731" s="765">
        <v>14815.54</v>
      </c>
      <c r="E1731" s="765">
        <v>171722.99</v>
      </c>
      <c r="I1731" s="765">
        <v>14815.54</v>
      </c>
    </row>
    <row r="1732" spans="1:9">
      <c r="A1732" s="785">
        <v>43473</v>
      </c>
      <c r="B1732" t="s">
        <v>4697</v>
      </c>
      <c r="C1732" s="765">
        <v>16226.19</v>
      </c>
      <c r="D1732" s="765">
        <v>16226.19</v>
      </c>
      <c r="E1732" s="765">
        <v>187949.18</v>
      </c>
      <c r="I1732" s="765">
        <v>16226.19</v>
      </c>
    </row>
    <row r="1733" spans="1:9">
      <c r="A1733" s="785">
        <v>43564</v>
      </c>
      <c r="B1733" t="s">
        <v>4698</v>
      </c>
      <c r="C1733" s="765">
        <v>16477.830000000002</v>
      </c>
      <c r="D1733" s="765">
        <v>16477.830000000002</v>
      </c>
      <c r="E1733" s="765">
        <v>204427.01</v>
      </c>
      <c r="I1733" s="765">
        <v>16477.830000000002</v>
      </c>
    </row>
    <row r="1734" spans="1:9">
      <c r="A1734" s="785">
        <v>43506</v>
      </c>
      <c r="B1734" t="s">
        <v>4699</v>
      </c>
      <c r="C1734" s="765">
        <v>17196.8</v>
      </c>
      <c r="D1734" s="765">
        <v>17196.8</v>
      </c>
      <c r="E1734" s="765">
        <v>221623.81</v>
      </c>
      <c r="I1734" s="765">
        <v>17196.8</v>
      </c>
    </row>
    <row r="1735" spans="1:9">
      <c r="A1735" s="785">
        <v>43476</v>
      </c>
      <c r="B1735" t="s">
        <v>4700</v>
      </c>
      <c r="C1735" s="765">
        <v>16837.32</v>
      </c>
      <c r="D1735" s="765">
        <v>16837.32</v>
      </c>
      <c r="E1735" s="765">
        <v>238461.13</v>
      </c>
      <c r="I1735" s="765">
        <v>16837.32</v>
      </c>
    </row>
    <row r="1736" spans="1:9">
      <c r="A1736" s="785">
        <v>43477</v>
      </c>
      <c r="B1736" t="s">
        <v>4701</v>
      </c>
      <c r="C1736" s="765">
        <v>16693.52</v>
      </c>
      <c r="D1736" s="765">
        <v>16693.52</v>
      </c>
      <c r="E1736" s="765">
        <v>255154.65</v>
      </c>
      <c r="I1736" s="765">
        <v>16693.52</v>
      </c>
    </row>
    <row r="1737" spans="1:9">
      <c r="A1737" s="785">
        <v>43983</v>
      </c>
      <c r="B1737" t="s">
        <v>4702</v>
      </c>
      <c r="C1737" s="765">
        <v>16477.830000000002</v>
      </c>
      <c r="D1737" s="765">
        <v>16477.830000000002</v>
      </c>
      <c r="E1737" s="765">
        <v>271632.48</v>
      </c>
      <c r="I1737" s="765">
        <v>16477.830000000002</v>
      </c>
    </row>
    <row r="1738" spans="1:9">
      <c r="A1738" s="785">
        <v>43953</v>
      </c>
      <c r="B1738" t="s">
        <v>4703</v>
      </c>
      <c r="C1738" s="765">
        <v>16728.04</v>
      </c>
      <c r="D1738" s="765">
        <v>16728.04</v>
      </c>
      <c r="E1738" s="765">
        <v>288360.52</v>
      </c>
      <c r="I1738" s="765">
        <v>16728.04</v>
      </c>
    </row>
    <row r="1739" spans="1:9">
      <c r="A1739" s="785">
        <v>43893</v>
      </c>
      <c r="B1739" t="s">
        <v>4704</v>
      </c>
      <c r="C1739" s="765">
        <v>17143.25</v>
      </c>
      <c r="D1739" s="765">
        <v>17143.25</v>
      </c>
      <c r="E1739" s="765">
        <v>305503.77</v>
      </c>
      <c r="I1739" s="765">
        <v>17143.25</v>
      </c>
    </row>
    <row r="1740" spans="1:9">
      <c r="A1740" s="785">
        <v>44017</v>
      </c>
      <c r="B1740" t="s">
        <v>4705</v>
      </c>
      <c r="C1740" s="765">
        <v>18831.2</v>
      </c>
      <c r="D1740" s="765">
        <v>18831.2</v>
      </c>
      <c r="E1740" s="765">
        <v>324334.96999999997</v>
      </c>
      <c r="I1740" s="765">
        <v>18831.2</v>
      </c>
    </row>
    <row r="1741" spans="1:9">
      <c r="A1741" s="785">
        <v>43896</v>
      </c>
      <c r="B1741" t="s">
        <v>4706</v>
      </c>
      <c r="C1741" s="765">
        <v>18869.71</v>
      </c>
      <c r="D1741" s="765">
        <v>18869.71</v>
      </c>
      <c r="E1741" s="765">
        <v>343204.68</v>
      </c>
      <c r="I1741" s="765">
        <v>18869.71</v>
      </c>
    </row>
    <row r="1743" spans="1:9">
      <c r="A1743" t="s">
        <v>4138</v>
      </c>
      <c r="B1743" s="765">
        <v>343204.68</v>
      </c>
      <c r="C1743" s="765">
        <v>343204.68</v>
      </c>
      <c r="D1743">
        <v>0</v>
      </c>
      <c r="E1743">
        <v>0</v>
      </c>
      <c r="F1743">
        <v>0</v>
      </c>
      <c r="G1743" s="765">
        <v>343204.68</v>
      </c>
    </row>
    <row r="1745" spans="1:9">
      <c r="A1745">
        <v>31032</v>
      </c>
      <c r="B1745" t="s">
        <v>7026</v>
      </c>
    </row>
    <row r="1746" spans="1:9">
      <c r="A1746" s="785">
        <v>44267</v>
      </c>
      <c r="B1746" t="s">
        <v>7246</v>
      </c>
      <c r="C1746">
        <v>863.91</v>
      </c>
      <c r="D1746">
        <v>863.91</v>
      </c>
      <c r="E1746">
        <v>863.91</v>
      </c>
      <c r="H1746">
        <v>863.91</v>
      </c>
    </row>
    <row r="1748" spans="1:9">
      <c r="A1748" t="s">
        <v>4138</v>
      </c>
      <c r="B1748">
        <v>863.91</v>
      </c>
      <c r="C1748">
        <v>863.91</v>
      </c>
      <c r="D1748">
        <v>0</v>
      </c>
      <c r="E1748">
        <v>0</v>
      </c>
      <c r="F1748">
        <v>863.91</v>
      </c>
      <c r="G1748">
        <v>0</v>
      </c>
    </row>
    <row r="1750" spans="1:9">
      <c r="A1750">
        <v>4</v>
      </c>
      <c r="B1750" t="s">
        <v>249</v>
      </c>
    </row>
    <row r="1752" spans="1:9">
      <c r="A1752">
        <v>51019</v>
      </c>
      <c r="B1752" t="s">
        <v>3426</v>
      </c>
    </row>
    <row r="1753" spans="1:9">
      <c r="A1753" s="785">
        <v>44208</v>
      </c>
      <c r="B1753" t="s">
        <v>7247</v>
      </c>
      <c r="C1753">
        <v>602.38</v>
      </c>
      <c r="D1753">
        <v>602.38</v>
      </c>
      <c r="E1753">
        <v>602.38</v>
      </c>
      <c r="H1753">
        <v>602.38</v>
      </c>
    </row>
    <row r="1755" spans="1:9">
      <c r="A1755" t="s">
        <v>4138</v>
      </c>
      <c r="B1755">
        <v>602.38</v>
      </c>
      <c r="C1755">
        <v>602.38</v>
      </c>
      <c r="D1755">
        <v>0</v>
      </c>
      <c r="E1755">
        <v>0</v>
      </c>
      <c r="F1755">
        <v>602.38</v>
      </c>
      <c r="G1755">
        <v>0</v>
      </c>
    </row>
    <row r="1757" spans="1:9">
      <c r="A1757">
        <v>51021</v>
      </c>
      <c r="B1757" t="s">
        <v>3422</v>
      </c>
    </row>
    <row r="1758" spans="1:9">
      <c r="A1758" s="785">
        <v>43232</v>
      </c>
      <c r="B1758" t="s">
        <v>4707</v>
      </c>
      <c r="C1758" s="765">
        <v>4362.1099999999997</v>
      </c>
      <c r="D1758" s="765">
        <v>4362.1099999999997</v>
      </c>
      <c r="E1758" s="765">
        <v>4362.1099999999997</v>
      </c>
      <c r="I1758" s="765">
        <v>4362.1099999999997</v>
      </c>
    </row>
    <row r="1759" spans="1:9">
      <c r="A1759" s="785">
        <v>43232</v>
      </c>
      <c r="B1759" t="s">
        <v>4708</v>
      </c>
      <c r="C1759" s="765">
        <v>3184.06</v>
      </c>
      <c r="D1759" s="765">
        <v>3184.06</v>
      </c>
      <c r="E1759" s="765">
        <v>7546.17</v>
      </c>
      <c r="I1759" s="765">
        <v>3184.06</v>
      </c>
    </row>
    <row r="1761" spans="1:16">
      <c r="A1761" t="s">
        <v>4138</v>
      </c>
      <c r="B1761" s="765">
        <v>7546.17</v>
      </c>
      <c r="C1761" s="765">
        <v>7546.17</v>
      </c>
      <c r="D1761">
        <v>0</v>
      </c>
      <c r="E1761">
        <v>0</v>
      </c>
      <c r="F1761">
        <v>0</v>
      </c>
      <c r="G1761" s="765">
        <v>7546.17</v>
      </c>
    </row>
    <row r="1763" spans="1:16">
      <c r="A1763">
        <v>51028</v>
      </c>
      <c r="B1763" t="s">
        <v>5960</v>
      </c>
    </row>
    <row r="1764" spans="1:16">
      <c r="A1764" s="785">
        <v>44356</v>
      </c>
      <c r="B1764" t="s">
        <v>6617</v>
      </c>
      <c r="C1764" s="765">
        <v>1591.65</v>
      </c>
      <c r="D1764" s="765">
        <v>1591.65</v>
      </c>
      <c r="E1764" s="765">
        <v>1591.65</v>
      </c>
      <c r="I1764" s="765">
        <v>1591.65</v>
      </c>
    </row>
    <row r="1765" spans="1:16">
      <c r="A1765" s="785">
        <v>44296</v>
      </c>
      <c r="B1765" t="s">
        <v>6743</v>
      </c>
      <c r="C1765" s="765">
        <v>1580.24</v>
      </c>
      <c r="D1765" s="765">
        <v>1580.24</v>
      </c>
      <c r="E1765" s="765">
        <v>3171.89</v>
      </c>
      <c r="I1765" s="765">
        <v>1580.24</v>
      </c>
      <c r="K1765" s="764" t="s">
        <v>7250</v>
      </c>
      <c r="N1765" s="765"/>
    </row>
    <row r="1766" spans="1:16">
      <c r="A1766" s="785">
        <v>44207</v>
      </c>
      <c r="B1766" t="s">
        <v>6922</v>
      </c>
      <c r="C1766" s="765">
        <v>1580.24</v>
      </c>
      <c r="D1766" s="765">
        <v>1580.24</v>
      </c>
      <c r="E1766" s="765">
        <v>4752.13</v>
      </c>
      <c r="I1766" s="765">
        <v>1580.24</v>
      </c>
      <c r="M1766" t="s">
        <v>732</v>
      </c>
      <c r="N1766" s="766" t="s">
        <v>1839</v>
      </c>
      <c r="P1766" s="135" t="s">
        <v>1840</v>
      </c>
    </row>
    <row r="1767" spans="1:16" ht="13.5" thickBot="1">
      <c r="A1767" s="785">
        <v>44208</v>
      </c>
      <c r="B1767" t="s">
        <v>7248</v>
      </c>
      <c r="C1767" s="765">
        <v>1580.24</v>
      </c>
      <c r="D1767" s="765">
        <v>1580.24</v>
      </c>
      <c r="E1767" s="765">
        <v>6332.37</v>
      </c>
      <c r="H1767" s="765">
        <v>1580.24</v>
      </c>
      <c r="N1767" s="765"/>
    </row>
    <row r="1768" spans="1:16" ht="13.5" thickBot="1">
      <c r="K1768" t="s">
        <v>15</v>
      </c>
      <c r="N1768" s="765">
        <v>7239983.3799999999</v>
      </c>
      <c r="P1768" s="786">
        <v>8263016.7400000002</v>
      </c>
    </row>
    <row r="1769" spans="1:16">
      <c r="A1769" t="s">
        <v>4138</v>
      </c>
      <c r="B1769" s="765">
        <v>6332.37</v>
      </c>
      <c r="C1769" s="765">
        <v>6332.37</v>
      </c>
      <c r="D1769">
        <v>0</v>
      </c>
      <c r="E1769">
        <v>0</v>
      </c>
      <c r="F1769" s="765">
        <v>1580.24</v>
      </c>
      <c r="G1769" s="765">
        <v>4752.13</v>
      </c>
      <c r="K1769" t="s">
        <v>1841</v>
      </c>
      <c r="N1769" s="765">
        <v>435757.5</v>
      </c>
    </row>
    <row r="1770" spans="1:16">
      <c r="K1770" t="s">
        <v>1842</v>
      </c>
      <c r="N1770" s="1409">
        <v>602079.03</v>
      </c>
    </row>
    <row r="1771" spans="1:16" ht="13.5" thickBot="1">
      <c r="A1771">
        <v>51029</v>
      </c>
      <c r="B1771" t="s">
        <v>5962</v>
      </c>
      <c r="K1771" t="s">
        <v>1843</v>
      </c>
      <c r="N1771" s="1409">
        <v>31652.37</v>
      </c>
    </row>
    <row r="1772" spans="1:16" ht="13.5" thickBot="1">
      <c r="A1772" s="785">
        <v>44320</v>
      </c>
      <c r="B1772" t="s">
        <v>6161</v>
      </c>
      <c r="C1772" s="765">
        <v>2581.92</v>
      </c>
      <c r="D1772" s="765">
        <v>2581.92</v>
      </c>
      <c r="E1772" s="765">
        <v>2581.92</v>
      </c>
      <c r="I1772" s="765">
        <v>2581.92</v>
      </c>
      <c r="K1772" s="135"/>
      <c r="L1772" s="135"/>
      <c r="M1772" s="135" t="s">
        <v>732</v>
      </c>
      <c r="N1772" s="767">
        <f>SUM(N1768:N1771)</f>
        <v>8309472.2800000003</v>
      </c>
      <c r="O1772" s="135"/>
      <c r="P1772" s="135"/>
    </row>
    <row r="1773" spans="1:16">
      <c r="A1773" s="785">
        <v>44320</v>
      </c>
      <c r="B1773" t="s">
        <v>6162</v>
      </c>
      <c r="C1773" s="765">
        <v>1822.1</v>
      </c>
      <c r="D1773" s="765">
        <v>1822.1</v>
      </c>
      <c r="E1773" s="765">
        <v>4404.0200000000004</v>
      </c>
      <c r="I1773" s="765">
        <v>1822.1</v>
      </c>
      <c r="N1773" s="765"/>
    </row>
    <row r="1774" spans="1:16">
      <c r="A1774" s="785">
        <v>44260</v>
      </c>
      <c r="B1774" t="s">
        <v>6228</v>
      </c>
      <c r="C1774" s="765">
        <v>1682.92</v>
      </c>
      <c r="D1774" s="765">
        <v>1682.92</v>
      </c>
      <c r="E1774" s="765">
        <v>6086.94</v>
      </c>
      <c r="I1774" s="765">
        <v>1682.92</v>
      </c>
      <c r="K1774" s="73"/>
      <c r="N1774" s="765"/>
    </row>
    <row r="1775" spans="1:16">
      <c r="A1775" s="785">
        <v>44383</v>
      </c>
      <c r="B1775" t="s">
        <v>6289</v>
      </c>
      <c r="C1775" s="765">
        <v>1580.24</v>
      </c>
      <c r="D1775" s="765">
        <v>1580.24</v>
      </c>
      <c r="E1775" s="765">
        <v>7667.18</v>
      </c>
      <c r="I1775" s="765">
        <v>1580.24</v>
      </c>
      <c r="K1775" s="1410" t="s">
        <v>2875</v>
      </c>
      <c r="L1775" s="1410"/>
      <c r="M1775" s="1410"/>
      <c r="N1775" s="765">
        <v>-18353.599999999999</v>
      </c>
      <c r="P1775" s="765"/>
    </row>
    <row r="1776" spans="1:16">
      <c r="A1776" s="785">
        <v>44234</v>
      </c>
      <c r="B1776" t="s">
        <v>6400</v>
      </c>
      <c r="C1776" s="765">
        <v>1591.65</v>
      </c>
      <c r="D1776" s="765">
        <v>1591.65</v>
      </c>
      <c r="E1776" s="765">
        <v>9258.83</v>
      </c>
      <c r="I1776" s="765">
        <v>1591.65</v>
      </c>
      <c r="K1776" s="1410" t="s">
        <v>2875</v>
      </c>
      <c r="L1776" s="1410"/>
      <c r="M1776" s="1410"/>
      <c r="N1776" s="765">
        <v>-28099.86</v>
      </c>
    </row>
    <row r="1777" spans="1:16">
      <c r="A1777" s="785">
        <v>44263</v>
      </c>
      <c r="B1777" t="s">
        <v>6497</v>
      </c>
      <c r="C1777" s="765">
        <v>1580.24</v>
      </c>
      <c r="D1777" s="765">
        <v>1580.24</v>
      </c>
      <c r="E1777" s="765">
        <v>10839.07</v>
      </c>
      <c r="I1777" s="765">
        <v>1580.24</v>
      </c>
      <c r="K1777" s="1410" t="s">
        <v>2875</v>
      </c>
      <c r="L1777" s="1410"/>
      <c r="M1777" s="1410"/>
      <c r="N1777" s="765">
        <v>0</v>
      </c>
    </row>
    <row r="1778" spans="1:16">
      <c r="A1778" s="785">
        <v>44356</v>
      </c>
      <c r="B1778" t="s">
        <v>6618</v>
      </c>
      <c r="C1778" s="765">
        <v>1591.65</v>
      </c>
      <c r="D1778" s="765">
        <v>1591.65</v>
      </c>
      <c r="E1778" s="765">
        <v>12430.72</v>
      </c>
      <c r="I1778" s="765">
        <v>1591.65</v>
      </c>
      <c r="K1778" s="1410" t="s">
        <v>2875</v>
      </c>
      <c r="L1778" s="1410"/>
      <c r="M1778" s="1410"/>
      <c r="N1778" s="765">
        <v>0</v>
      </c>
    </row>
    <row r="1779" spans="1:16">
      <c r="A1779" s="785">
        <v>44296</v>
      </c>
      <c r="B1779" t="s">
        <v>6744</v>
      </c>
      <c r="C1779" s="765">
        <v>1580.24</v>
      </c>
      <c r="D1779" s="765">
        <v>1580.24</v>
      </c>
      <c r="E1779" s="765">
        <v>14010.96</v>
      </c>
      <c r="I1779" s="765">
        <v>1580.24</v>
      </c>
      <c r="K1779" s="73"/>
      <c r="L1779" s="1410"/>
      <c r="M1779" s="1410"/>
    </row>
    <row r="1780" spans="1:16">
      <c r="A1780" s="785">
        <v>44207</v>
      </c>
      <c r="B1780" t="s">
        <v>6923</v>
      </c>
      <c r="C1780" s="765">
        <v>1580.24</v>
      </c>
      <c r="D1780" s="765">
        <v>1580.24</v>
      </c>
      <c r="E1780" s="765">
        <v>15591.2</v>
      </c>
      <c r="I1780" s="765">
        <v>1580.24</v>
      </c>
      <c r="K1780" s="73"/>
      <c r="L1780" s="1410"/>
      <c r="M1780" s="1410"/>
    </row>
    <row r="1781" spans="1:16" ht="13.5" thickBot="1">
      <c r="A1781" s="785">
        <v>44208</v>
      </c>
      <c r="B1781" t="s">
        <v>7249</v>
      </c>
      <c r="C1781" s="765">
        <v>1580.24</v>
      </c>
      <c r="D1781" s="765">
        <v>1580.24</v>
      </c>
      <c r="E1781" s="765">
        <v>17171.439999999999</v>
      </c>
      <c r="H1781" s="765">
        <v>1580.24</v>
      </c>
      <c r="K1781" s="73"/>
      <c r="L1781" s="1410"/>
      <c r="M1781" s="1410"/>
      <c r="N1781" s="768"/>
    </row>
    <row r="1782" spans="1:16" ht="13.5" thickBot="1">
      <c r="K1782" s="769" t="s">
        <v>1844</v>
      </c>
      <c r="N1782" s="770">
        <f>SUM(N1774:N1781)+N1772</f>
        <v>8263018.8200000003</v>
      </c>
    </row>
    <row r="1783" spans="1:16">
      <c r="C1783" t="s">
        <v>4138</v>
      </c>
      <c r="D1783" s="765">
        <v>17171.439999999999</v>
      </c>
      <c r="E1783" s="765">
        <v>17171.439999999999</v>
      </c>
      <c r="F1783">
        <v>0</v>
      </c>
      <c r="G1783">
        <v>0</v>
      </c>
      <c r="H1783" s="765">
        <v>1580.24</v>
      </c>
      <c r="I1783" s="765">
        <v>15591.2</v>
      </c>
      <c r="N1783" s="766"/>
    </row>
    <row r="1784" spans="1:16" ht="13.5" thickBot="1">
      <c r="N1784" s="765"/>
      <c r="P1784" s="765" t="s">
        <v>732</v>
      </c>
    </row>
    <row r="1785" spans="1:16" ht="15.75" thickBot="1">
      <c r="C1785" s="1144" t="s">
        <v>4138</v>
      </c>
      <c r="D1785" s="1551">
        <v>9308177.9900000002</v>
      </c>
      <c r="E1785" s="1552">
        <v>8263016.7400000002</v>
      </c>
      <c r="F1785" s="1144">
        <v>0</v>
      </c>
      <c r="G1785" s="1551">
        <v>416289.47</v>
      </c>
      <c r="H1785" s="1551">
        <v>2606690.54</v>
      </c>
      <c r="I1785" s="1551">
        <v>5240036.7300000004</v>
      </c>
      <c r="K1785" s="1399" t="s">
        <v>951</v>
      </c>
      <c r="L1785" s="1400"/>
      <c r="M1785" s="1400"/>
      <c r="N1785" s="1401"/>
      <c r="O1785" s="1402">
        <f>N1782-P1768</f>
        <v>2.0800000000745058</v>
      </c>
      <c r="P1785" s="135"/>
    </row>
    <row r="1788" spans="1:16" ht="15">
      <c r="A1788" s="1969" t="s">
        <v>3370</v>
      </c>
      <c r="B1788" s="1969"/>
      <c r="C1788" s="1969"/>
      <c r="D1788" s="1969"/>
      <c r="E1788" s="1969"/>
      <c r="F1788" s="1969"/>
    </row>
    <row r="1789" spans="1:16" ht="15">
      <c r="A1789" s="1970" t="s">
        <v>3427</v>
      </c>
      <c r="B1789" s="1970"/>
      <c r="C1789" s="1144"/>
      <c r="D1789" s="1969" t="s">
        <v>7082</v>
      </c>
      <c r="E1789" s="1969"/>
      <c r="F1789" s="1969"/>
    </row>
    <row r="1790" spans="1:16" ht="15">
      <c r="A1790" s="1553" t="s">
        <v>5293</v>
      </c>
      <c r="B1790" s="1553" t="s">
        <v>3428</v>
      </c>
      <c r="C1790" s="1553" t="s">
        <v>3429</v>
      </c>
      <c r="D1790" s="1554" t="s">
        <v>3430</v>
      </c>
      <c r="E1790" s="1553" t="s">
        <v>3431</v>
      </c>
      <c r="F1790" s="1553" t="s">
        <v>955</v>
      </c>
    </row>
    <row r="1791" spans="1:16">
      <c r="A1791" s="143">
        <v>11518</v>
      </c>
      <c r="B1791" t="s">
        <v>6699</v>
      </c>
      <c r="C1791" t="s">
        <v>6749</v>
      </c>
      <c r="D1791" s="45" t="s">
        <v>7251</v>
      </c>
      <c r="E1791">
        <v>1</v>
      </c>
      <c r="F1791" s="765">
        <v>3168.41</v>
      </c>
    </row>
    <row r="1792" spans="1:16">
      <c r="A1792" s="143">
        <v>11679</v>
      </c>
      <c r="B1792" t="s">
        <v>6705</v>
      </c>
      <c r="C1792" t="s">
        <v>6807</v>
      </c>
      <c r="D1792" s="45" t="s">
        <v>7252</v>
      </c>
      <c r="E1792">
        <v>4</v>
      </c>
      <c r="F1792" s="765">
        <v>62648.59</v>
      </c>
    </row>
    <row r="1793" spans="1:6">
      <c r="A1793" s="143">
        <v>11937</v>
      </c>
      <c r="B1793" t="s">
        <v>3410</v>
      </c>
      <c r="C1793" t="s">
        <v>3434</v>
      </c>
      <c r="D1793" s="45" t="s">
        <v>7253</v>
      </c>
      <c r="E1793">
        <v>4</v>
      </c>
      <c r="F1793" s="765">
        <v>124394.39</v>
      </c>
    </row>
    <row r="1794" spans="1:6">
      <c r="A1794" s="143">
        <v>11007</v>
      </c>
      <c r="B1794" t="s">
        <v>3463</v>
      </c>
      <c r="C1794" t="s">
        <v>3464</v>
      </c>
      <c r="D1794" s="45" t="s">
        <v>7254</v>
      </c>
      <c r="E1794">
        <v>9</v>
      </c>
      <c r="F1794" s="765">
        <v>224336.65</v>
      </c>
    </row>
    <row r="1795" spans="1:6">
      <c r="A1795" s="143">
        <v>12098</v>
      </c>
      <c r="B1795" t="s">
        <v>7226</v>
      </c>
      <c r="C1795" t="s">
        <v>7255</v>
      </c>
      <c r="D1795" s="45" t="s">
        <v>7256</v>
      </c>
      <c r="E1795">
        <v>10</v>
      </c>
      <c r="F1795" s="765">
        <v>1741.43</v>
      </c>
    </row>
    <row r="1796" spans="1:6">
      <c r="A1796" s="143">
        <v>11444</v>
      </c>
      <c r="B1796" t="s">
        <v>6586</v>
      </c>
      <c r="C1796" t="s">
        <v>3444</v>
      </c>
      <c r="D1796" s="45" t="s">
        <v>7257</v>
      </c>
      <c r="E1796">
        <v>22</v>
      </c>
      <c r="F1796" s="765">
        <v>23019.31</v>
      </c>
    </row>
    <row r="1797" spans="1:6">
      <c r="A1797" s="143">
        <v>11541</v>
      </c>
      <c r="B1797" t="s">
        <v>3394</v>
      </c>
      <c r="C1797" t="s">
        <v>3514</v>
      </c>
      <c r="D1797" s="45" t="s">
        <v>7258</v>
      </c>
      <c r="E1797">
        <v>24</v>
      </c>
      <c r="F1797" s="765">
        <v>30524.76</v>
      </c>
    </row>
    <row r="1798" spans="1:6">
      <c r="A1798" s="143">
        <v>11832</v>
      </c>
      <c r="B1798" t="s">
        <v>3416</v>
      </c>
      <c r="C1798" t="s">
        <v>3438</v>
      </c>
      <c r="D1798" s="45" t="s">
        <v>7259</v>
      </c>
      <c r="E1798">
        <v>24</v>
      </c>
      <c r="F1798" s="765">
        <v>74533.600000000006</v>
      </c>
    </row>
    <row r="1799" spans="1:6">
      <c r="A1799" s="143">
        <v>11441</v>
      </c>
      <c r="B1799" t="s">
        <v>3432</v>
      </c>
      <c r="C1799" t="s">
        <v>3433</v>
      </c>
      <c r="D1799" s="45" t="s">
        <v>7260</v>
      </c>
      <c r="E1799">
        <v>25</v>
      </c>
      <c r="F1799" s="765">
        <v>12697.74</v>
      </c>
    </row>
    <row r="1800" spans="1:6">
      <c r="A1800" s="143">
        <v>11444</v>
      </c>
      <c r="B1800" t="s">
        <v>6586</v>
      </c>
      <c r="C1800" t="s">
        <v>3444</v>
      </c>
      <c r="D1800" s="45" t="s">
        <v>7261</v>
      </c>
      <c r="E1800">
        <v>28</v>
      </c>
      <c r="F1800" s="765">
        <v>115233.58</v>
      </c>
    </row>
    <row r="1801" spans="1:6">
      <c r="A1801" s="143">
        <v>11519</v>
      </c>
      <c r="B1801" t="s">
        <v>7262</v>
      </c>
      <c r="C1801" t="s">
        <v>7263</v>
      </c>
      <c r="D1801" s="45" t="s">
        <v>7264</v>
      </c>
      <c r="E1801">
        <v>28</v>
      </c>
      <c r="F1801" s="765">
        <v>6557.56</v>
      </c>
    </row>
    <row r="1802" spans="1:6">
      <c r="A1802" s="143">
        <v>11720</v>
      </c>
      <c r="B1802" t="s">
        <v>6397</v>
      </c>
      <c r="C1802" t="s">
        <v>6405</v>
      </c>
      <c r="D1802" s="45" t="s">
        <v>7265</v>
      </c>
      <c r="E1802">
        <v>28</v>
      </c>
      <c r="F1802" s="765">
        <v>6900.94</v>
      </c>
    </row>
    <row r="1803" spans="1:6">
      <c r="A1803" s="143">
        <v>11797</v>
      </c>
      <c r="B1803" t="s">
        <v>7164</v>
      </c>
      <c r="C1803" t="s">
        <v>7266</v>
      </c>
      <c r="D1803" s="45" t="s">
        <v>7267</v>
      </c>
      <c r="E1803">
        <v>28</v>
      </c>
      <c r="F1803" s="765">
        <v>1128.68</v>
      </c>
    </row>
    <row r="1804" spans="1:6">
      <c r="A1804" s="143">
        <v>11946</v>
      </c>
      <c r="B1804" t="s">
        <v>3412</v>
      </c>
      <c r="C1804" t="s">
        <v>3490</v>
      </c>
      <c r="D1804" s="45" t="s">
        <v>7268</v>
      </c>
      <c r="E1804">
        <v>28</v>
      </c>
      <c r="F1804" s="765">
        <v>1630.21</v>
      </c>
    </row>
    <row r="1805" spans="1:6">
      <c r="A1805" s="143">
        <v>11949</v>
      </c>
      <c r="B1805" t="s">
        <v>6720</v>
      </c>
      <c r="C1805" t="s">
        <v>6779</v>
      </c>
      <c r="D1805" s="45" t="s">
        <v>7269</v>
      </c>
      <c r="E1805">
        <v>28</v>
      </c>
      <c r="F1805" s="765">
        <v>4612.24</v>
      </c>
    </row>
    <row r="1806" spans="1:6">
      <c r="A1806" s="143">
        <v>11952</v>
      </c>
      <c r="B1806" t="s">
        <v>3413</v>
      </c>
      <c r="C1806" t="s">
        <v>3445</v>
      </c>
      <c r="D1806" s="45" t="s">
        <v>7270</v>
      </c>
      <c r="E1806">
        <v>28</v>
      </c>
      <c r="F1806" s="765">
        <v>3105.73</v>
      </c>
    </row>
    <row r="1807" spans="1:6">
      <c r="A1807" s="143">
        <v>12002</v>
      </c>
      <c r="B1807" t="s">
        <v>3460</v>
      </c>
      <c r="C1807" t="s">
        <v>3461</v>
      </c>
      <c r="D1807" s="45" t="s">
        <v>7271</v>
      </c>
      <c r="E1807">
        <v>28</v>
      </c>
      <c r="F1807" s="765">
        <v>4600.63</v>
      </c>
    </row>
    <row r="1808" spans="1:6">
      <c r="A1808" s="143">
        <v>21012</v>
      </c>
      <c r="B1808" t="s">
        <v>6916</v>
      </c>
      <c r="C1808" t="s">
        <v>6944</v>
      </c>
      <c r="D1808" s="45" t="s">
        <v>7272</v>
      </c>
      <c r="E1808">
        <v>28</v>
      </c>
      <c r="F1808" s="765">
        <v>1392.41</v>
      </c>
    </row>
    <row r="1809" spans="1:6">
      <c r="A1809" s="143">
        <v>21090</v>
      </c>
      <c r="B1809" t="s">
        <v>1191</v>
      </c>
      <c r="C1809" t="s">
        <v>3456</v>
      </c>
      <c r="D1809" s="45" t="s">
        <v>7273</v>
      </c>
      <c r="E1809">
        <v>28</v>
      </c>
      <c r="F1809" s="765">
        <v>4605.9399999999996</v>
      </c>
    </row>
    <row r="1810" spans="1:6">
      <c r="A1810" s="143">
        <v>31024</v>
      </c>
      <c r="B1810" t="s">
        <v>6586</v>
      </c>
      <c r="C1810" t="s">
        <v>3444</v>
      </c>
      <c r="D1810" s="45" t="s">
        <v>7274</v>
      </c>
      <c r="E1810">
        <v>28</v>
      </c>
      <c r="F1810" s="765">
        <v>2372.5300000000002</v>
      </c>
    </row>
    <row r="1811" spans="1:6">
      <c r="A1811" s="143">
        <v>31027</v>
      </c>
      <c r="B1811" t="s">
        <v>1033</v>
      </c>
      <c r="C1811" t="s">
        <v>3478</v>
      </c>
      <c r="D1811" s="45" t="s">
        <v>7275</v>
      </c>
      <c r="E1811">
        <v>28</v>
      </c>
      <c r="F1811" s="765">
        <v>1727.81</v>
      </c>
    </row>
    <row r="1812" spans="1:6">
      <c r="A1812" s="143">
        <v>31027</v>
      </c>
      <c r="B1812" t="s">
        <v>1033</v>
      </c>
      <c r="C1812" t="s">
        <v>3478</v>
      </c>
      <c r="D1812" s="45" t="s">
        <v>7276</v>
      </c>
      <c r="E1812">
        <v>28</v>
      </c>
      <c r="F1812" s="765">
        <v>1508.52</v>
      </c>
    </row>
    <row r="1813" spans="1:6">
      <c r="A1813" s="143">
        <v>31030</v>
      </c>
      <c r="B1813" t="s">
        <v>3424</v>
      </c>
      <c r="C1813" t="s">
        <v>3498</v>
      </c>
      <c r="D1813" s="45" t="s">
        <v>7277</v>
      </c>
      <c r="E1813">
        <v>28</v>
      </c>
      <c r="F1813" s="765">
        <v>8631.7199999999993</v>
      </c>
    </row>
    <row r="1814" spans="1:6">
      <c r="A1814" s="143">
        <v>31032</v>
      </c>
      <c r="B1814" t="s">
        <v>7026</v>
      </c>
      <c r="C1814" t="s">
        <v>7278</v>
      </c>
      <c r="D1814" s="45" t="s">
        <v>7279</v>
      </c>
      <c r="E1814">
        <v>28</v>
      </c>
      <c r="F1814" s="765">
        <v>863.91</v>
      </c>
    </row>
    <row r="1815" spans="1:6">
      <c r="A1815" s="143">
        <v>11044</v>
      </c>
      <c r="B1815" t="s">
        <v>7280</v>
      </c>
      <c r="C1815" t="s">
        <v>7281</v>
      </c>
      <c r="D1815" s="45" t="s">
        <v>7282</v>
      </c>
      <c r="E1815">
        <v>29</v>
      </c>
      <c r="F1815" s="765">
        <v>10122.290000000001</v>
      </c>
    </row>
    <row r="1816" spans="1:6">
      <c r="A1816" s="143">
        <v>11145</v>
      </c>
      <c r="B1816" t="s">
        <v>6846</v>
      </c>
      <c r="C1816" t="s">
        <v>6995</v>
      </c>
      <c r="D1816" s="45" t="s">
        <v>7283</v>
      </c>
      <c r="E1816">
        <v>29</v>
      </c>
      <c r="F1816" s="765">
        <v>61985.08</v>
      </c>
    </row>
    <row r="1817" spans="1:6">
      <c r="A1817" s="143">
        <v>11145</v>
      </c>
      <c r="B1817" t="s">
        <v>6846</v>
      </c>
      <c r="C1817" t="s">
        <v>6995</v>
      </c>
      <c r="D1817" s="45" t="s">
        <v>7284</v>
      </c>
      <c r="E1817">
        <v>29</v>
      </c>
      <c r="F1817" s="765">
        <v>17319.34</v>
      </c>
    </row>
    <row r="1818" spans="1:6">
      <c r="A1818" s="143">
        <v>11145</v>
      </c>
      <c r="B1818" t="s">
        <v>6846</v>
      </c>
      <c r="C1818" t="s">
        <v>6995</v>
      </c>
      <c r="D1818" s="45" t="s">
        <v>7285</v>
      </c>
      <c r="E1818">
        <v>29</v>
      </c>
      <c r="F1818" s="765">
        <v>8364.5</v>
      </c>
    </row>
    <row r="1819" spans="1:6">
      <c r="A1819" s="143">
        <v>11261</v>
      </c>
      <c r="B1819" t="s">
        <v>6849</v>
      </c>
      <c r="C1819" t="s">
        <v>6995</v>
      </c>
      <c r="D1819" s="45" t="s">
        <v>7286</v>
      </c>
      <c r="E1819">
        <v>29</v>
      </c>
      <c r="F1819" s="765">
        <v>54488.49</v>
      </c>
    </row>
    <row r="1820" spans="1:6">
      <c r="A1820" s="143">
        <v>11418</v>
      </c>
      <c r="B1820" t="s">
        <v>6734</v>
      </c>
      <c r="C1820" t="s">
        <v>6803</v>
      </c>
      <c r="D1820" s="45" t="s">
        <v>7287</v>
      </c>
      <c r="E1820">
        <v>29</v>
      </c>
      <c r="F1820" s="765">
        <v>13569.83</v>
      </c>
    </row>
    <row r="1821" spans="1:6">
      <c r="A1821" s="143">
        <v>11604</v>
      </c>
      <c r="B1821" t="s">
        <v>3477</v>
      </c>
      <c r="C1821" t="s">
        <v>3478</v>
      </c>
      <c r="D1821" s="45" t="s">
        <v>7288</v>
      </c>
      <c r="E1821">
        <v>29</v>
      </c>
      <c r="F1821" s="765">
        <v>998.59</v>
      </c>
    </row>
    <row r="1822" spans="1:6">
      <c r="A1822" s="143">
        <v>11604</v>
      </c>
      <c r="B1822" t="s">
        <v>3477</v>
      </c>
      <c r="C1822" t="s">
        <v>3478</v>
      </c>
      <c r="D1822" s="45" t="s">
        <v>7289</v>
      </c>
      <c r="E1822">
        <v>29</v>
      </c>
      <c r="F1822" s="765">
        <v>1860.1</v>
      </c>
    </row>
    <row r="1823" spans="1:6">
      <c r="A1823" s="143">
        <v>11626</v>
      </c>
      <c r="B1823" t="s">
        <v>3452</v>
      </c>
      <c r="C1823" t="s">
        <v>3453</v>
      </c>
      <c r="D1823" s="45" t="s">
        <v>7290</v>
      </c>
      <c r="E1823">
        <v>29</v>
      </c>
      <c r="F1823" s="765">
        <v>3263.14</v>
      </c>
    </row>
    <row r="1824" spans="1:6">
      <c r="A1824" s="143">
        <v>11691</v>
      </c>
      <c r="B1824" t="s">
        <v>1838</v>
      </c>
      <c r="C1824" t="s">
        <v>7291</v>
      </c>
      <c r="D1824" s="45" t="s">
        <v>7292</v>
      </c>
      <c r="E1824">
        <v>29</v>
      </c>
      <c r="F1824" s="765">
        <v>1748.79</v>
      </c>
    </row>
    <row r="1825" spans="1:6">
      <c r="A1825" s="143">
        <v>11691</v>
      </c>
      <c r="B1825" t="s">
        <v>1838</v>
      </c>
      <c r="C1825" t="s">
        <v>7291</v>
      </c>
      <c r="D1825" s="45" t="s">
        <v>7293</v>
      </c>
      <c r="E1825">
        <v>29</v>
      </c>
      <c r="F1825" s="765">
        <v>1044.5</v>
      </c>
    </row>
    <row r="1826" spans="1:6">
      <c r="A1826" s="143">
        <v>11721</v>
      </c>
      <c r="B1826" t="s">
        <v>3418</v>
      </c>
      <c r="C1826" t="s">
        <v>3458</v>
      </c>
      <c r="D1826" s="45" t="s">
        <v>7294</v>
      </c>
      <c r="E1826">
        <v>29</v>
      </c>
      <c r="F1826" s="765">
        <v>27603.78</v>
      </c>
    </row>
    <row r="1827" spans="1:6">
      <c r="A1827" s="143">
        <v>11736</v>
      </c>
      <c r="B1827" t="s">
        <v>1026</v>
      </c>
      <c r="C1827" t="s">
        <v>3481</v>
      </c>
      <c r="D1827" s="45" t="s">
        <v>7295</v>
      </c>
      <c r="E1827">
        <v>29</v>
      </c>
      <c r="F1827" s="765">
        <v>470.11</v>
      </c>
    </row>
    <row r="1828" spans="1:6">
      <c r="A1828" s="143">
        <v>11737</v>
      </c>
      <c r="B1828" t="s">
        <v>1026</v>
      </c>
      <c r="C1828" t="s">
        <v>3481</v>
      </c>
      <c r="D1828" s="45" t="s">
        <v>7296</v>
      </c>
      <c r="E1828">
        <v>29</v>
      </c>
      <c r="F1828" s="765">
        <v>2844.39</v>
      </c>
    </row>
    <row r="1829" spans="1:6">
      <c r="A1829" s="143">
        <v>11749</v>
      </c>
      <c r="B1829" t="s">
        <v>3573</v>
      </c>
      <c r="C1829" t="s">
        <v>3574</v>
      </c>
      <c r="D1829" s="45" t="s">
        <v>7297</v>
      </c>
      <c r="E1829">
        <v>29</v>
      </c>
      <c r="F1829" s="765">
        <v>1869.13</v>
      </c>
    </row>
    <row r="1830" spans="1:6">
      <c r="A1830" s="143">
        <v>11749</v>
      </c>
      <c r="B1830" t="s">
        <v>3573</v>
      </c>
      <c r="C1830" t="s">
        <v>3574</v>
      </c>
      <c r="D1830" s="45" t="s">
        <v>7298</v>
      </c>
      <c r="E1830">
        <v>29</v>
      </c>
      <c r="F1830" s="765">
        <v>1869.13</v>
      </c>
    </row>
    <row r="1831" spans="1:6">
      <c r="A1831" s="143">
        <v>11751</v>
      </c>
      <c r="B1831" t="s">
        <v>6768</v>
      </c>
      <c r="C1831" t="s">
        <v>6769</v>
      </c>
      <c r="D1831" s="45" t="s">
        <v>7299</v>
      </c>
      <c r="E1831">
        <v>29</v>
      </c>
      <c r="F1831" s="765">
        <v>161.72999999999999</v>
      </c>
    </row>
    <row r="1832" spans="1:6">
      <c r="A1832" s="143">
        <v>11764</v>
      </c>
      <c r="B1832" t="s">
        <v>5327</v>
      </c>
      <c r="C1832" t="s">
        <v>5349</v>
      </c>
      <c r="D1832" s="45" t="s">
        <v>7300</v>
      </c>
      <c r="E1832">
        <v>29</v>
      </c>
      <c r="F1832" s="765">
        <v>1951.61</v>
      </c>
    </row>
    <row r="1833" spans="1:6">
      <c r="A1833" s="143">
        <v>11770</v>
      </c>
      <c r="B1833" t="s">
        <v>5281</v>
      </c>
      <c r="C1833" t="s">
        <v>5306</v>
      </c>
      <c r="D1833" s="45" t="s">
        <v>7301</v>
      </c>
      <c r="E1833">
        <v>29</v>
      </c>
      <c r="F1833" s="765">
        <v>122.1</v>
      </c>
    </row>
    <row r="1834" spans="1:6">
      <c r="A1834" s="143">
        <v>11801</v>
      </c>
      <c r="B1834" t="s">
        <v>2077</v>
      </c>
      <c r="C1834" t="s">
        <v>3482</v>
      </c>
      <c r="D1834" s="45" t="s">
        <v>7302</v>
      </c>
      <c r="E1834">
        <v>29</v>
      </c>
      <c r="F1834" s="765">
        <v>24746.59</v>
      </c>
    </row>
    <row r="1835" spans="1:6">
      <c r="A1835" s="143">
        <v>11802</v>
      </c>
      <c r="B1835" t="s">
        <v>3400</v>
      </c>
      <c r="C1835" t="s">
        <v>3516</v>
      </c>
      <c r="D1835" s="45" t="s">
        <v>7303</v>
      </c>
      <c r="E1835">
        <v>29</v>
      </c>
      <c r="F1835" s="765">
        <v>14595.76</v>
      </c>
    </row>
    <row r="1836" spans="1:6">
      <c r="A1836" s="143">
        <v>11811</v>
      </c>
      <c r="B1836" t="s">
        <v>3403</v>
      </c>
      <c r="C1836" t="s">
        <v>3929</v>
      </c>
      <c r="D1836" s="45" t="s">
        <v>7304</v>
      </c>
      <c r="E1836">
        <v>29</v>
      </c>
      <c r="F1836" s="765">
        <v>8742.2900000000009</v>
      </c>
    </row>
    <row r="1837" spans="1:6">
      <c r="A1837" s="143">
        <v>11814</v>
      </c>
      <c r="B1837" t="s">
        <v>3405</v>
      </c>
      <c r="C1837" t="s">
        <v>3517</v>
      </c>
      <c r="D1837" s="45" t="s">
        <v>7305</v>
      </c>
      <c r="E1837">
        <v>29</v>
      </c>
      <c r="F1837" s="765">
        <v>3803.61</v>
      </c>
    </row>
    <row r="1838" spans="1:6">
      <c r="A1838" s="143">
        <v>11816</v>
      </c>
      <c r="B1838" t="s">
        <v>6304</v>
      </c>
      <c r="C1838" t="s">
        <v>6305</v>
      </c>
      <c r="D1838" s="45" t="s">
        <v>7306</v>
      </c>
      <c r="E1838">
        <v>29</v>
      </c>
      <c r="F1838" s="765">
        <v>1033.75</v>
      </c>
    </row>
    <row r="1839" spans="1:6">
      <c r="A1839" s="143">
        <v>11816</v>
      </c>
      <c r="B1839" t="s">
        <v>6304</v>
      </c>
      <c r="C1839" t="s">
        <v>6305</v>
      </c>
      <c r="D1839" s="45" t="s">
        <v>7307</v>
      </c>
      <c r="E1839">
        <v>29</v>
      </c>
      <c r="F1839" s="765">
        <v>320.27999999999997</v>
      </c>
    </row>
    <row r="1840" spans="1:6">
      <c r="A1840" s="143">
        <v>11816</v>
      </c>
      <c r="B1840" t="s">
        <v>6304</v>
      </c>
      <c r="C1840" t="s">
        <v>6305</v>
      </c>
      <c r="D1840" s="45" t="s">
        <v>7308</v>
      </c>
      <c r="E1840">
        <v>29</v>
      </c>
      <c r="F1840" s="765">
        <v>280.64999999999998</v>
      </c>
    </row>
    <row r="1841" spans="1:6">
      <c r="A1841" s="143">
        <v>11830</v>
      </c>
      <c r="B1841" t="s">
        <v>5611</v>
      </c>
      <c r="C1841" t="s">
        <v>5618</v>
      </c>
      <c r="D1841" s="45" t="s">
        <v>7309</v>
      </c>
      <c r="E1841">
        <v>29</v>
      </c>
      <c r="F1841" s="765">
        <v>147.72</v>
      </c>
    </row>
    <row r="1842" spans="1:6">
      <c r="A1842" s="143">
        <v>11835</v>
      </c>
      <c r="B1842" t="s">
        <v>6849</v>
      </c>
      <c r="C1842" t="s">
        <v>6995</v>
      </c>
      <c r="D1842" s="45" t="s">
        <v>7310</v>
      </c>
      <c r="E1842">
        <v>29</v>
      </c>
      <c r="F1842" s="765">
        <v>1942.56</v>
      </c>
    </row>
    <row r="1843" spans="1:6">
      <c r="A1843" s="143">
        <v>11846</v>
      </c>
      <c r="B1843" t="s">
        <v>2100</v>
      </c>
      <c r="C1843" t="s">
        <v>3489</v>
      </c>
      <c r="D1843" s="45" t="s">
        <v>7311</v>
      </c>
      <c r="E1843">
        <v>29</v>
      </c>
      <c r="F1843" s="765">
        <v>14262.59</v>
      </c>
    </row>
    <row r="1844" spans="1:6">
      <c r="A1844" s="143">
        <v>11879</v>
      </c>
      <c r="B1844" t="s">
        <v>7176</v>
      </c>
      <c r="C1844" t="s">
        <v>7312</v>
      </c>
      <c r="D1844" s="45" t="s">
        <v>7313</v>
      </c>
      <c r="E1844">
        <v>29</v>
      </c>
      <c r="F1844" s="765">
        <v>4304.34</v>
      </c>
    </row>
    <row r="1845" spans="1:6">
      <c r="A1845" s="143">
        <v>11888</v>
      </c>
      <c r="B1845" t="s">
        <v>1705</v>
      </c>
      <c r="C1845" t="s">
        <v>5351</v>
      </c>
      <c r="D1845" s="45" t="s">
        <v>7314</v>
      </c>
      <c r="E1845">
        <v>29</v>
      </c>
      <c r="F1845" s="765">
        <v>3439.87</v>
      </c>
    </row>
    <row r="1846" spans="1:6">
      <c r="A1846" s="143">
        <v>11908</v>
      </c>
      <c r="B1846" t="s">
        <v>7180</v>
      </c>
      <c r="C1846" t="s">
        <v>7315</v>
      </c>
      <c r="D1846" s="45" t="s">
        <v>7316</v>
      </c>
      <c r="E1846">
        <v>29</v>
      </c>
      <c r="F1846" s="765">
        <v>2750.3</v>
      </c>
    </row>
    <row r="1847" spans="1:6">
      <c r="A1847" s="143">
        <v>11909</v>
      </c>
      <c r="B1847" t="s">
        <v>2125</v>
      </c>
      <c r="C1847" t="s">
        <v>6512</v>
      </c>
      <c r="D1847" s="45" t="s">
        <v>7317</v>
      </c>
      <c r="E1847">
        <v>29</v>
      </c>
      <c r="F1847" s="765">
        <v>7248.07</v>
      </c>
    </row>
    <row r="1848" spans="1:6">
      <c r="A1848" s="143">
        <v>11921</v>
      </c>
      <c r="B1848" t="s">
        <v>3409</v>
      </c>
      <c r="C1848" t="s">
        <v>3729</v>
      </c>
      <c r="D1848" s="45" t="s">
        <v>7318</v>
      </c>
      <c r="E1848">
        <v>29</v>
      </c>
      <c r="F1848" s="765">
        <v>4708.8500000000004</v>
      </c>
    </row>
    <row r="1849" spans="1:6">
      <c r="A1849" s="143">
        <v>11942</v>
      </c>
      <c r="B1849" t="s">
        <v>6391</v>
      </c>
      <c r="C1849" t="s">
        <v>6401</v>
      </c>
      <c r="D1849" s="45" t="s">
        <v>7319</v>
      </c>
      <c r="E1849">
        <v>29</v>
      </c>
      <c r="F1849" s="765">
        <v>1154.46</v>
      </c>
    </row>
    <row r="1850" spans="1:6">
      <c r="A1850" s="143">
        <v>11002</v>
      </c>
      <c r="B1850" t="s">
        <v>1123</v>
      </c>
      <c r="C1850" t="s">
        <v>3501</v>
      </c>
      <c r="D1850" s="45" t="s">
        <v>7320</v>
      </c>
      <c r="E1850">
        <v>30</v>
      </c>
      <c r="F1850" s="765">
        <v>159579.37</v>
      </c>
    </row>
    <row r="1851" spans="1:6">
      <c r="A1851" s="143">
        <v>11007</v>
      </c>
      <c r="B1851" t="s">
        <v>3463</v>
      </c>
      <c r="C1851" t="s">
        <v>3464</v>
      </c>
      <c r="D1851" s="45" t="s">
        <v>7321</v>
      </c>
      <c r="E1851">
        <v>30</v>
      </c>
      <c r="F1851" s="765">
        <v>21220.240000000002</v>
      </c>
    </row>
    <row r="1852" spans="1:6">
      <c r="A1852" s="143">
        <v>11007</v>
      </c>
      <c r="B1852" t="s">
        <v>3463</v>
      </c>
      <c r="C1852" t="s">
        <v>3464</v>
      </c>
      <c r="D1852" s="45" t="s">
        <v>7322</v>
      </c>
      <c r="E1852">
        <v>30</v>
      </c>
      <c r="F1852" s="765">
        <v>9070.83</v>
      </c>
    </row>
    <row r="1853" spans="1:6">
      <c r="A1853" s="143">
        <v>11007</v>
      </c>
      <c r="B1853" t="s">
        <v>3463</v>
      </c>
      <c r="C1853" t="s">
        <v>3464</v>
      </c>
      <c r="D1853" s="45" t="s">
        <v>7323</v>
      </c>
      <c r="E1853">
        <v>30</v>
      </c>
      <c r="F1853" s="765">
        <v>77037.539999999994</v>
      </c>
    </row>
    <row r="1854" spans="1:6">
      <c r="A1854" s="143">
        <v>11007</v>
      </c>
      <c r="B1854" t="s">
        <v>3463</v>
      </c>
      <c r="C1854" t="s">
        <v>3464</v>
      </c>
      <c r="D1854" s="45" t="s">
        <v>7324</v>
      </c>
      <c r="E1854">
        <v>30</v>
      </c>
      <c r="F1854" s="765">
        <v>637716.56000000006</v>
      </c>
    </row>
    <row r="1855" spans="1:6">
      <c r="A1855" s="143">
        <v>11007</v>
      </c>
      <c r="B1855" t="s">
        <v>3463</v>
      </c>
      <c r="C1855" t="s">
        <v>3464</v>
      </c>
      <c r="D1855" s="45" t="s">
        <v>7325</v>
      </c>
      <c r="E1855">
        <v>30</v>
      </c>
      <c r="F1855" s="765">
        <v>25838.12</v>
      </c>
    </row>
    <row r="1856" spans="1:6">
      <c r="A1856" s="143">
        <v>11023</v>
      </c>
      <c r="B1856" t="s">
        <v>3371</v>
      </c>
      <c r="C1856" t="s">
        <v>3465</v>
      </c>
      <c r="D1856" s="45" t="s">
        <v>7326</v>
      </c>
      <c r="E1856">
        <v>30</v>
      </c>
      <c r="F1856" s="765">
        <v>17.43</v>
      </c>
    </row>
    <row r="1857" spans="1:6">
      <c r="A1857" s="143">
        <v>11052</v>
      </c>
      <c r="B1857" t="s">
        <v>6208</v>
      </c>
      <c r="C1857" t="s">
        <v>6240</v>
      </c>
      <c r="D1857" s="45" t="s">
        <v>7327</v>
      </c>
      <c r="E1857">
        <v>30</v>
      </c>
      <c r="F1857" s="765">
        <v>5155.1099999999997</v>
      </c>
    </row>
    <row r="1858" spans="1:6">
      <c r="A1858" s="143">
        <v>11053</v>
      </c>
      <c r="B1858" t="s">
        <v>3372</v>
      </c>
      <c r="C1858" t="s">
        <v>3466</v>
      </c>
      <c r="D1858" s="45" t="s">
        <v>7328</v>
      </c>
      <c r="E1858">
        <v>30</v>
      </c>
      <c r="F1858" s="765">
        <v>10635.79</v>
      </c>
    </row>
    <row r="1859" spans="1:6">
      <c r="A1859" s="143">
        <v>11053</v>
      </c>
      <c r="B1859" t="s">
        <v>3372</v>
      </c>
      <c r="C1859" t="s">
        <v>3466</v>
      </c>
      <c r="D1859" s="45" t="s">
        <v>7329</v>
      </c>
      <c r="E1859">
        <v>30</v>
      </c>
      <c r="F1859" s="765">
        <v>781.97</v>
      </c>
    </row>
    <row r="1860" spans="1:6">
      <c r="A1860" s="143">
        <v>11073</v>
      </c>
      <c r="B1860" t="s">
        <v>6478</v>
      </c>
      <c r="C1860" t="s">
        <v>6504</v>
      </c>
      <c r="D1860" s="45" t="s">
        <v>7330</v>
      </c>
      <c r="E1860">
        <v>30</v>
      </c>
      <c r="F1860" s="765">
        <v>10256.61</v>
      </c>
    </row>
    <row r="1861" spans="1:6">
      <c r="A1861" s="143">
        <v>11073</v>
      </c>
      <c r="B1861" t="s">
        <v>6478</v>
      </c>
      <c r="C1861" t="s">
        <v>6504</v>
      </c>
      <c r="D1861" s="45" t="s">
        <v>7331</v>
      </c>
      <c r="E1861">
        <v>30</v>
      </c>
      <c r="F1861" s="765">
        <v>17183.060000000001</v>
      </c>
    </row>
    <row r="1862" spans="1:6">
      <c r="A1862" s="143">
        <v>11073</v>
      </c>
      <c r="B1862" t="s">
        <v>6478</v>
      </c>
      <c r="C1862" t="s">
        <v>6504</v>
      </c>
      <c r="D1862" s="45" t="s">
        <v>7332</v>
      </c>
      <c r="E1862">
        <v>30</v>
      </c>
      <c r="F1862" s="765">
        <v>1191.9000000000001</v>
      </c>
    </row>
    <row r="1863" spans="1:6">
      <c r="A1863" s="143">
        <v>11075</v>
      </c>
      <c r="B1863" t="s">
        <v>3373</v>
      </c>
      <c r="C1863" t="s">
        <v>3467</v>
      </c>
      <c r="D1863" s="45" t="s">
        <v>7333</v>
      </c>
      <c r="E1863">
        <v>30</v>
      </c>
      <c r="F1863" s="765">
        <v>2948.31</v>
      </c>
    </row>
    <row r="1864" spans="1:6">
      <c r="A1864" s="143">
        <v>11092</v>
      </c>
      <c r="B1864" t="s">
        <v>7101</v>
      </c>
      <c r="C1864" t="s">
        <v>7334</v>
      </c>
      <c r="D1864" s="45" t="s">
        <v>7335</v>
      </c>
      <c r="E1864">
        <v>30</v>
      </c>
      <c r="F1864" s="765">
        <v>9743.94</v>
      </c>
    </row>
    <row r="1865" spans="1:6">
      <c r="A1865" s="143">
        <v>11092</v>
      </c>
      <c r="B1865" t="s">
        <v>7101</v>
      </c>
      <c r="C1865" t="s">
        <v>7334</v>
      </c>
      <c r="D1865" s="45" t="s">
        <v>7336</v>
      </c>
      <c r="E1865">
        <v>30</v>
      </c>
      <c r="F1865" s="765">
        <v>1894.01</v>
      </c>
    </row>
    <row r="1866" spans="1:6">
      <c r="A1866" s="143">
        <v>11109</v>
      </c>
      <c r="B1866" t="s">
        <v>6276</v>
      </c>
      <c r="C1866" t="s">
        <v>6301</v>
      </c>
      <c r="D1866" s="45" t="s">
        <v>7337</v>
      </c>
      <c r="E1866">
        <v>30</v>
      </c>
      <c r="F1866" s="765">
        <v>3558.86</v>
      </c>
    </row>
    <row r="1867" spans="1:6">
      <c r="A1867" s="143">
        <v>11123</v>
      </c>
      <c r="B1867" t="s">
        <v>3377</v>
      </c>
      <c r="C1867" t="s">
        <v>3505</v>
      </c>
      <c r="D1867" s="45" t="s">
        <v>7338</v>
      </c>
      <c r="E1867">
        <v>30</v>
      </c>
      <c r="F1867" s="765">
        <v>2195.04</v>
      </c>
    </row>
    <row r="1868" spans="1:6">
      <c r="A1868" s="143">
        <v>11123</v>
      </c>
      <c r="B1868" t="s">
        <v>3377</v>
      </c>
      <c r="C1868" t="s">
        <v>3505</v>
      </c>
      <c r="D1868" s="45" t="s">
        <v>7339</v>
      </c>
      <c r="E1868">
        <v>30</v>
      </c>
      <c r="F1868" s="765">
        <v>302.36</v>
      </c>
    </row>
    <row r="1869" spans="1:6">
      <c r="A1869" s="143">
        <v>11123</v>
      </c>
      <c r="B1869" t="s">
        <v>3377</v>
      </c>
      <c r="C1869" t="s">
        <v>3505</v>
      </c>
      <c r="D1869" s="45" t="s">
        <v>7340</v>
      </c>
      <c r="E1869">
        <v>30</v>
      </c>
      <c r="F1869" s="765">
        <v>3641.68</v>
      </c>
    </row>
    <row r="1870" spans="1:6">
      <c r="A1870" s="143">
        <v>11123</v>
      </c>
      <c r="B1870" t="s">
        <v>3377</v>
      </c>
      <c r="C1870" t="s">
        <v>3505</v>
      </c>
      <c r="D1870" s="45" t="s">
        <v>7341</v>
      </c>
      <c r="E1870">
        <v>30</v>
      </c>
      <c r="F1870" s="765">
        <v>329.84</v>
      </c>
    </row>
    <row r="1871" spans="1:6">
      <c r="A1871" s="143">
        <v>11123</v>
      </c>
      <c r="B1871" t="s">
        <v>3377</v>
      </c>
      <c r="C1871" t="s">
        <v>3505</v>
      </c>
      <c r="D1871" s="45" t="s">
        <v>7342</v>
      </c>
      <c r="E1871">
        <v>30</v>
      </c>
      <c r="F1871" s="765">
        <v>494.77</v>
      </c>
    </row>
    <row r="1872" spans="1:6">
      <c r="A1872" s="143">
        <v>11123</v>
      </c>
      <c r="B1872" t="s">
        <v>3377</v>
      </c>
      <c r="C1872" t="s">
        <v>3505</v>
      </c>
      <c r="D1872" s="45" t="s">
        <v>7343</v>
      </c>
      <c r="E1872">
        <v>30</v>
      </c>
      <c r="F1872" s="765">
        <v>1099.5</v>
      </c>
    </row>
    <row r="1873" spans="1:6">
      <c r="A1873" s="143">
        <v>11123</v>
      </c>
      <c r="B1873" t="s">
        <v>3377</v>
      </c>
      <c r="C1873" t="s">
        <v>3505</v>
      </c>
      <c r="D1873" s="45" t="s">
        <v>7344</v>
      </c>
      <c r="E1873">
        <v>30</v>
      </c>
      <c r="F1873" s="765">
        <v>2597.0300000000002</v>
      </c>
    </row>
    <row r="1874" spans="1:6">
      <c r="A1874" s="143">
        <v>11232</v>
      </c>
      <c r="B1874" t="s">
        <v>3380</v>
      </c>
      <c r="C1874" t="s">
        <v>3506</v>
      </c>
      <c r="D1874" s="45" t="s">
        <v>7345</v>
      </c>
      <c r="E1874">
        <v>30</v>
      </c>
      <c r="F1874" s="765">
        <v>1621.76</v>
      </c>
    </row>
    <row r="1875" spans="1:6">
      <c r="A1875" s="143">
        <v>11250</v>
      </c>
      <c r="B1875" t="s">
        <v>7116</v>
      </c>
      <c r="C1875" t="s">
        <v>7346</v>
      </c>
      <c r="D1875" s="45" t="s">
        <v>7347</v>
      </c>
      <c r="E1875">
        <v>30</v>
      </c>
      <c r="F1875" s="765">
        <v>29063.39</v>
      </c>
    </row>
    <row r="1876" spans="1:6">
      <c r="A1876" s="143">
        <v>11270</v>
      </c>
      <c r="B1876" t="s">
        <v>6505</v>
      </c>
      <c r="C1876" t="s">
        <v>6506</v>
      </c>
      <c r="D1876" s="45" t="s">
        <v>7348</v>
      </c>
      <c r="E1876">
        <v>30</v>
      </c>
      <c r="F1876" s="765">
        <v>4329.8500000000004</v>
      </c>
    </row>
    <row r="1877" spans="1:6">
      <c r="A1877" s="143">
        <v>11312</v>
      </c>
      <c r="B1877" t="s">
        <v>3382</v>
      </c>
      <c r="C1877" t="s">
        <v>3508</v>
      </c>
      <c r="D1877" s="45" t="s">
        <v>7349</v>
      </c>
      <c r="E1877">
        <v>30</v>
      </c>
      <c r="F1877" s="765">
        <v>164567.99</v>
      </c>
    </row>
    <row r="1878" spans="1:6">
      <c r="A1878" s="143">
        <v>11312</v>
      </c>
      <c r="B1878" t="s">
        <v>3382</v>
      </c>
      <c r="C1878" t="s">
        <v>3508</v>
      </c>
      <c r="D1878" s="45" t="s">
        <v>7350</v>
      </c>
      <c r="E1878">
        <v>30</v>
      </c>
      <c r="F1878" s="765">
        <v>14458.35</v>
      </c>
    </row>
    <row r="1879" spans="1:6">
      <c r="A1879" s="143">
        <v>11320</v>
      </c>
      <c r="B1879" t="s">
        <v>3380</v>
      </c>
      <c r="C1879" t="s">
        <v>3506</v>
      </c>
      <c r="D1879" s="45" t="s">
        <v>7351</v>
      </c>
      <c r="E1879">
        <v>30</v>
      </c>
      <c r="F1879" s="765">
        <v>10599.04</v>
      </c>
    </row>
    <row r="1880" spans="1:6">
      <c r="A1880" s="143">
        <v>11321</v>
      </c>
      <c r="B1880" t="s">
        <v>3383</v>
      </c>
      <c r="C1880" t="s">
        <v>3449</v>
      </c>
      <c r="D1880" s="45" t="s">
        <v>7352</v>
      </c>
      <c r="E1880">
        <v>30</v>
      </c>
      <c r="F1880" s="765">
        <v>6086.84</v>
      </c>
    </row>
    <row r="1881" spans="1:6">
      <c r="A1881" s="143">
        <v>11326</v>
      </c>
      <c r="B1881" t="s">
        <v>3384</v>
      </c>
      <c r="C1881" t="s">
        <v>3470</v>
      </c>
      <c r="D1881" s="45" t="s">
        <v>7353</v>
      </c>
      <c r="E1881">
        <v>30</v>
      </c>
      <c r="F1881" s="765">
        <v>8396.33</v>
      </c>
    </row>
    <row r="1882" spans="1:6">
      <c r="A1882" s="143">
        <v>11404</v>
      </c>
      <c r="B1882" t="s">
        <v>3387</v>
      </c>
      <c r="C1882" t="s">
        <v>3506</v>
      </c>
      <c r="D1882" s="45" t="s">
        <v>7354</v>
      </c>
      <c r="E1882">
        <v>30</v>
      </c>
      <c r="F1882" s="765">
        <v>797.13</v>
      </c>
    </row>
    <row r="1883" spans="1:6">
      <c r="A1883" s="143">
        <v>11413</v>
      </c>
      <c r="B1883" t="s">
        <v>3388</v>
      </c>
      <c r="C1883" t="s">
        <v>3471</v>
      </c>
      <c r="D1883" s="45" t="s">
        <v>7355</v>
      </c>
      <c r="E1883">
        <v>30</v>
      </c>
      <c r="F1883" s="765">
        <v>6900.94</v>
      </c>
    </row>
    <row r="1884" spans="1:6">
      <c r="A1884" s="143">
        <v>11413</v>
      </c>
      <c r="B1884" t="s">
        <v>3388</v>
      </c>
      <c r="C1884" t="s">
        <v>3471</v>
      </c>
      <c r="D1884" s="45" t="s">
        <v>7356</v>
      </c>
      <c r="E1884">
        <v>30</v>
      </c>
      <c r="F1884" s="765">
        <v>14903.56</v>
      </c>
    </row>
    <row r="1885" spans="1:6">
      <c r="A1885" s="143">
        <v>11451</v>
      </c>
      <c r="B1885" t="s">
        <v>7130</v>
      </c>
      <c r="C1885" t="s">
        <v>7357</v>
      </c>
      <c r="D1885" s="45" t="s">
        <v>7358</v>
      </c>
      <c r="E1885">
        <v>30</v>
      </c>
      <c r="F1885" s="765">
        <v>144018.42000000001</v>
      </c>
    </row>
    <row r="1886" spans="1:6">
      <c r="A1886" s="143">
        <v>11473</v>
      </c>
      <c r="B1886" t="s">
        <v>3512</v>
      </c>
      <c r="C1886" t="s">
        <v>3513</v>
      </c>
      <c r="D1886" s="45" t="s">
        <v>7359</v>
      </c>
      <c r="E1886">
        <v>30</v>
      </c>
      <c r="F1886" s="765">
        <v>263563.45</v>
      </c>
    </row>
    <row r="1887" spans="1:6">
      <c r="A1887" s="143">
        <v>11505</v>
      </c>
      <c r="B1887" t="s">
        <v>3475</v>
      </c>
      <c r="C1887" t="s">
        <v>3476</v>
      </c>
      <c r="D1887" s="45" t="s">
        <v>7360</v>
      </c>
      <c r="E1887">
        <v>30</v>
      </c>
      <c r="F1887" s="765">
        <v>11625.2</v>
      </c>
    </row>
    <row r="1888" spans="1:6">
      <c r="A1888" s="143">
        <v>11524</v>
      </c>
      <c r="B1888" t="s">
        <v>7361</v>
      </c>
      <c r="C1888" t="s">
        <v>7362</v>
      </c>
      <c r="D1888" s="45" t="s">
        <v>7363</v>
      </c>
      <c r="E1888">
        <v>30</v>
      </c>
      <c r="F1888" s="765">
        <v>1806.66</v>
      </c>
    </row>
    <row r="1889" spans="1:6">
      <c r="A1889" s="143">
        <v>11541</v>
      </c>
      <c r="B1889" t="s">
        <v>3394</v>
      </c>
      <c r="C1889" t="s">
        <v>3514</v>
      </c>
      <c r="D1889" s="45" t="s">
        <v>7364</v>
      </c>
      <c r="E1889">
        <v>30</v>
      </c>
      <c r="F1889" s="765">
        <v>22313.51</v>
      </c>
    </row>
    <row r="1890" spans="1:6">
      <c r="A1890" s="143">
        <v>11546</v>
      </c>
      <c r="B1890" t="s">
        <v>6805</v>
      </c>
      <c r="C1890" t="s">
        <v>6806</v>
      </c>
      <c r="D1890" s="45" t="s">
        <v>7365</v>
      </c>
      <c r="E1890">
        <v>30</v>
      </c>
      <c r="F1890" s="765">
        <v>8564.7999999999993</v>
      </c>
    </row>
    <row r="1891" spans="1:6">
      <c r="A1891" s="143">
        <v>11573</v>
      </c>
      <c r="B1891" t="s">
        <v>3417</v>
      </c>
      <c r="C1891" t="s">
        <v>3457</v>
      </c>
      <c r="D1891" s="45" t="s">
        <v>7366</v>
      </c>
      <c r="E1891">
        <v>30</v>
      </c>
      <c r="F1891" s="765">
        <v>46006.29</v>
      </c>
    </row>
    <row r="1892" spans="1:6">
      <c r="A1892" s="143">
        <v>11605</v>
      </c>
      <c r="B1892" t="s">
        <v>5949</v>
      </c>
      <c r="C1892" t="s">
        <v>3515</v>
      </c>
      <c r="D1892" s="45" t="s">
        <v>7367</v>
      </c>
      <c r="E1892">
        <v>30</v>
      </c>
      <c r="F1892" s="765">
        <v>1908.93</v>
      </c>
    </row>
    <row r="1893" spans="1:6">
      <c r="A1893" s="143">
        <v>11605</v>
      </c>
      <c r="B1893" t="s">
        <v>5949</v>
      </c>
      <c r="C1893" t="s">
        <v>3515</v>
      </c>
      <c r="D1893" s="45" t="s">
        <v>7368</v>
      </c>
      <c r="E1893">
        <v>30</v>
      </c>
      <c r="F1893" s="765">
        <v>286.17</v>
      </c>
    </row>
    <row r="1894" spans="1:6">
      <c r="A1894" s="143">
        <v>11605</v>
      </c>
      <c r="B1894" t="s">
        <v>5949</v>
      </c>
      <c r="C1894" t="s">
        <v>3515</v>
      </c>
      <c r="D1894" s="45" t="s">
        <v>7369</v>
      </c>
      <c r="E1894">
        <v>30</v>
      </c>
      <c r="F1894" s="765">
        <v>153.63</v>
      </c>
    </row>
    <row r="1895" spans="1:6">
      <c r="A1895" s="143">
        <v>11776</v>
      </c>
      <c r="B1895" t="s">
        <v>2069</v>
      </c>
      <c r="C1895" t="s">
        <v>6809</v>
      </c>
      <c r="D1895" s="45" t="s">
        <v>7370</v>
      </c>
      <c r="E1895">
        <v>30</v>
      </c>
      <c r="F1895" s="765">
        <v>1649.24</v>
      </c>
    </row>
    <row r="1896" spans="1:6">
      <c r="A1896" s="143">
        <v>11776</v>
      </c>
      <c r="B1896" t="s">
        <v>2069</v>
      </c>
      <c r="C1896" t="s">
        <v>6809</v>
      </c>
      <c r="D1896" s="45" t="s">
        <v>7371</v>
      </c>
      <c r="E1896">
        <v>30</v>
      </c>
      <c r="F1896" s="765">
        <v>16786.48</v>
      </c>
    </row>
    <row r="1897" spans="1:6">
      <c r="A1897" s="143">
        <v>11784</v>
      </c>
      <c r="B1897" t="s">
        <v>2164</v>
      </c>
      <c r="C1897" t="s">
        <v>3663</v>
      </c>
      <c r="D1897" s="45" t="s">
        <v>7372</v>
      </c>
      <c r="E1897">
        <v>30</v>
      </c>
      <c r="F1897" s="765">
        <v>4389.46</v>
      </c>
    </row>
    <row r="1898" spans="1:6">
      <c r="A1898" s="143">
        <v>11790</v>
      </c>
      <c r="B1898" t="s">
        <v>1298</v>
      </c>
      <c r="C1898" t="s">
        <v>6521</v>
      </c>
      <c r="D1898" s="45" t="s">
        <v>7373</v>
      </c>
      <c r="E1898">
        <v>30</v>
      </c>
      <c r="F1898" s="765">
        <v>33992.89</v>
      </c>
    </row>
    <row r="1899" spans="1:6">
      <c r="A1899" s="143">
        <v>11943</v>
      </c>
      <c r="B1899" t="s">
        <v>5748</v>
      </c>
      <c r="C1899" t="s">
        <v>5761</v>
      </c>
      <c r="D1899" s="45" t="s">
        <v>7374</v>
      </c>
      <c r="E1899">
        <v>30</v>
      </c>
      <c r="F1899" s="765">
        <v>2418.89</v>
      </c>
    </row>
    <row r="1900" spans="1:6">
      <c r="A1900" s="143">
        <v>11943</v>
      </c>
      <c r="B1900" t="s">
        <v>5748</v>
      </c>
      <c r="C1900" t="s">
        <v>5761</v>
      </c>
      <c r="D1900" s="45" t="s">
        <v>7375</v>
      </c>
      <c r="E1900">
        <v>30</v>
      </c>
      <c r="F1900" s="765">
        <v>1649.24</v>
      </c>
    </row>
    <row r="1901" spans="1:6">
      <c r="A1901" s="143">
        <v>11943</v>
      </c>
      <c r="B1901" t="s">
        <v>5748</v>
      </c>
      <c r="C1901" t="s">
        <v>5761</v>
      </c>
      <c r="D1901" s="45" t="s">
        <v>7376</v>
      </c>
      <c r="E1901">
        <v>30</v>
      </c>
      <c r="F1901" s="765">
        <v>141.5</v>
      </c>
    </row>
    <row r="1902" spans="1:6">
      <c r="A1902" s="143">
        <v>11943</v>
      </c>
      <c r="B1902" t="s">
        <v>5748</v>
      </c>
      <c r="C1902" t="s">
        <v>5761</v>
      </c>
      <c r="D1902" s="45" t="s">
        <v>7377</v>
      </c>
      <c r="E1902">
        <v>30</v>
      </c>
      <c r="F1902" s="765">
        <v>1374.37</v>
      </c>
    </row>
    <row r="1903" spans="1:6">
      <c r="A1903" s="143">
        <v>11950</v>
      </c>
      <c r="B1903" t="s">
        <v>6514</v>
      </c>
      <c r="C1903" t="s">
        <v>6515</v>
      </c>
      <c r="D1903" s="45" t="s">
        <v>7378</v>
      </c>
      <c r="E1903">
        <v>30</v>
      </c>
      <c r="F1903" s="765">
        <v>9447.5300000000007</v>
      </c>
    </row>
    <row r="1904" spans="1:6">
      <c r="A1904" s="143">
        <v>11962</v>
      </c>
      <c r="B1904" t="s">
        <v>7379</v>
      </c>
      <c r="C1904" t="s">
        <v>7380</v>
      </c>
      <c r="D1904" s="45" t="s">
        <v>7381</v>
      </c>
      <c r="E1904">
        <v>30</v>
      </c>
      <c r="F1904" s="765">
        <v>955.54</v>
      </c>
    </row>
    <row r="1905" spans="1:6">
      <c r="A1905" s="143">
        <v>11962</v>
      </c>
      <c r="B1905" t="s">
        <v>7379</v>
      </c>
      <c r="C1905" t="s">
        <v>7380</v>
      </c>
      <c r="D1905" s="45" t="s">
        <v>7382</v>
      </c>
      <c r="E1905">
        <v>30</v>
      </c>
      <c r="F1905" s="765">
        <v>2699.96</v>
      </c>
    </row>
    <row r="1906" spans="1:6">
      <c r="A1906" s="143">
        <v>11964</v>
      </c>
      <c r="B1906" t="s">
        <v>6896</v>
      </c>
      <c r="C1906" t="s">
        <v>6975</v>
      </c>
      <c r="D1906" s="45" t="s">
        <v>7383</v>
      </c>
      <c r="E1906">
        <v>30</v>
      </c>
      <c r="F1906" s="765">
        <v>873.63</v>
      </c>
    </row>
    <row r="1907" spans="1:6">
      <c r="A1907" s="143">
        <v>11972</v>
      </c>
      <c r="B1907" t="s">
        <v>7198</v>
      </c>
      <c r="C1907" t="s">
        <v>7384</v>
      </c>
      <c r="D1907" s="45" t="s">
        <v>7385</v>
      </c>
      <c r="E1907">
        <v>30</v>
      </c>
      <c r="F1907" s="765">
        <v>1044.32</v>
      </c>
    </row>
    <row r="1908" spans="1:6">
      <c r="A1908" s="143">
        <v>11974</v>
      </c>
      <c r="B1908" t="s">
        <v>3519</v>
      </c>
      <c r="C1908" t="s">
        <v>3520</v>
      </c>
      <c r="D1908" s="45" t="s">
        <v>7386</v>
      </c>
      <c r="E1908">
        <v>30</v>
      </c>
      <c r="F1908" s="765">
        <v>1649.68</v>
      </c>
    </row>
    <row r="1909" spans="1:6">
      <c r="A1909" s="143">
        <v>11976</v>
      </c>
      <c r="B1909" t="s">
        <v>3105</v>
      </c>
      <c r="C1909" t="s">
        <v>3589</v>
      </c>
      <c r="D1909" s="45" t="s">
        <v>7387</v>
      </c>
      <c r="E1909">
        <v>30</v>
      </c>
      <c r="F1909" s="765">
        <v>141.51</v>
      </c>
    </row>
    <row r="1910" spans="1:6">
      <c r="A1910" s="143">
        <v>11981</v>
      </c>
      <c r="B1910" t="s">
        <v>5286</v>
      </c>
      <c r="C1910" t="s">
        <v>5308</v>
      </c>
      <c r="D1910" s="45" t="s">
        <v>7388</v>
      </c>
      <c r="E1910">
        <v>30</v>
      </c>
      <c r="F1910" s="765">
        <v>1114.23</v>
      </c>
    </row>
    <row r="1911" spans="1:6">
      <c r="A1911" s="143">
        <v>11989</v>
      </c>
      <c r="B1911" t="s">
        <v>6297</v>
      </c>
      <c r="C1911" t="s">
        <v>6298</v>
      </c>
      <c r="D1911" s="45" t="s">
        <v>7389</v>
      </c>
      <c r="E1911">
        <v>30</v>
      </c>
      <c r="F1911" s="765">
        <v>1281.75</v>
      </c>
    </row>
    <row r="1912" spans="1:6">
      <c r="A1912" s="143">
        <v>11989</v>
      </c>
      <c r="B1912" t="s">
        <v>6297</v>
      </c>
      <c r="C1912" t="s">
        <v>6298</v>
      </c>
      <c r="D1912" s="45" t="s">
        <v>7390</v>
      </c>
      <c r="E1912">
        <v>30</v>
      </c>
      <c r="F1912" s="765">
        <v>6636.49</v>
      </c>
    </row>
    <row r="1913" spans="1:6">
      <c r="A1913" s="143">
        <v>11989</v>
      </c>
      <c r="B1913" t="s">
        <v>6297</v>
      </c>
      <c r="C1913" t="s">
        <v>6298</v>
      </c>
      <c r="D1913" s="45" t="s">
        <v>7391</v>
      </c>
      <c r="E1913">
        <v>30</v>
      </c>
      <c r="F1913" s="765">
        <v>1704.21</v>
      </c>
    </row>
    <row r="1914" spans="1:6">
      <c r="A1914" s="143">
        <v>12011</v>
      </c>
      <c r="B1914" t="s">
        <v>3293</v>
      </c>
      <c r="C1914" t="s">
        <v>3442</v>
      </c>
      <c r="D1914" s="45" t="s">
        <v>7392</v>
      </c>
      <c r="E1914">
        <v>30</v>
      </c>
      <c r="F1914" s="765">
        <v>533.79999999999995</v>
      </c>
    </row>
    <row r="1915" spans="1:6">
      <c r="A1915" s="143">
        <v>12012</v>
      </c>
      <c r="B1915" t="s">
        <v>3233</v>
      </c>
      <c r="C1915" t="s">
        <v>7393</v>
      </c>
      <c r="D1915" s="45" t="s">
        <v>7394</v>
      </c>
      <c r="E1915">
        <v>30</v>
      </c>
      <c r="F1915" s="765">
        <v>255.66</v>
      </c>
    </row>
    <row r="1916" spans="1:6">
      <c r="A1916" s="143">
        <v>12019</v>
      </c>
      <c r="B1916" t="s">
        <v>6157</v>
      </c>
      <c r="C1916" t="s">
        <v>6185</v>
      </c>
      <c r="D1916" s="45" t="s">
        <v>7395</v>
      </c>
      <c r="E1916">
        <v>30</v>
      </c>
      <c r="F1916" s="765">
        <v>130.66999999999999</v>
      </c>
    </row>
    <row r="1917" spans="1:6">
      <c r="A1917" s="143">
        <v>12020</v>
      </c>
      <c r="B1917" t="s">
        <v>6727</v>
      </c>
      <c r="C1917" t="s">
        <v>6785</v>
      </c>
      <c r="D1917" s="45" t="s">
        <v>7396</v>
      </c>
      <c r="E1917">
        <v>30</v>
      </c>
      <c r="F1917" s="765">
        <v>156.57</v>
      </c>
    </row>
    <row r="1918" spans="1:6">
      <c r="A1918" s="143">
        <v>12026</v>
      </c>
      <c r="B1918" t="s">
        <v>4029</v>
      </c>
      <c r="C1918" t="s">
        <v>4031</v>
      </c>
      <c r="D1918" s="45" t="s">
        <v>7397</v>
      </c>
      <c r="E1918">
        <v>30</v>
      </c>
      <c r="F1918" s="765">
        <v>1002.35</v>
      </c>
    </row>
    <row r="1919" spans="1:6">
      <c r="A1919" s="143">
        <v>12040</v>
      </c>
      <c r="B1919" t="s">
        <v>5301</v>
      </c>
      <c r="C1919" t="s">
        <v>5302</v>
      </c>
      <c r="D1919" s="45" t="s">
        <v>7398</v>
      </c>
      <c r="E1919">
        <v>30</v>
      </c>
      <c r="F1919" s="765">
        <v>123.67</v>
      </c>
    </row>
    <row r="1920" spans="1:6">
      <c r="A1920" s="143">
        <v>12042</v>
      </c>
      <c r="B1920" t="s">
        <v>5780</v>
      </c>
      <c r="C1920" t="s">
        <v>7399</v>
      </c>
      <c r="D1920" s="45" t="s">
        <v>7400</v>
      </c>
      <c r="E1920">
        <v>30</v>
      </c>
      <c r="F1920" s="765">
        <v>4370.6000000000004</v>
      </c>
    </row>
    <row r="1921" spans="1:6">
      <c r="A1921" s="143">
        <v>12043</v>
      </c>
      <c r="B1921" t="s">
        <v>5268</v>
      </c>
      <c r="C1921" t="s">
        <v>7401</v>
      </c>
      <c r="D1921" s="45" t="s">
        <v>7402</v>
      </c>
      <c r="E1921">
        <v>30</v>
      </c>
      <c r="F1921" s="765">
        <v>100.68</v>
      </c>
    </row>
    <row r="1922" spans="1:6">
      <c r="A1922" s="143">
        <v>12045</v>
      </c>
      <c r="B1922" t="s">
        <v>5270</v>
      </c>
      <c r="C1922" t="s">
        <v>6646</v>
      </c>
      <c r="D1922" s="45" t="s">
        <v>7403</v>
      </c>
      <c r="E1922">
        <v>30</v>
      </c>
      <c r="F1922" s="765">
        <v>863.3</v>
      </c>
    </row>
    <row r="1923" spans="1:6">
      <c r="A1923" s="143">
        <v>12056</v>
      </c>
      <c r="B1923" t="s">
        <v>5592</v>
      </c>
      <c r="C1923" t="s">
        <v>7404</v>
      </c>
      <c r="D1923" s="45" t="s">
        <v>7405</v>
      </c>
      <c r="E1923">
        <v>30</v>
      </c>
      <c r="F1923" s="765">
        <v>106.63</v>
      </c>
    </row>
    <row r="1924" spans="1:6">
      <c r="A1924" s="143">
        <v>12057</v>
      </c>
      <c r="B1924" t="s">
        <v>5665</v>
      </c>
      <c r="C1924" t="s">
        <v>5755</v>
      </c>
      <c r="D1924" s="45" t="s">
        <v>7406</v>
      </c>
      <c r="E1924">
        <v>30</v>
      </c>
      <c r="F1924" s="765">
        <v>558.11</v>
      </c>
    </row>
    <row r="1925" spans="1:6">
      <c r="A1925" s="143">
        <v>12060</v>
      </c>
      <c r="B1925" t="s">
        <v>6606</v>
      </c>
      <c r="C1925" t="s">
        <v>6621</v>
      </c>
      <c r="D1925" s="45" t="s">
        <v>7407</v>
      </c>
      <c r="E1925">
        <v>30</v>
      </c>
      <c r="F1925" s="765">
        <v>875.2</v>
      </c>
    </row>
    <row r="1926" spans="1:6">
      <c r="A1926" s="143">
        <v>12075</v>
      </c>
      <c r="B1926" t="s">
        <v>6257</v>
      </c>
      <c r="C1926" t="s">
        <v>7408</v>
      </c>
      <c r="D1926" s="45" t="s">
        <v>7409</v>
      </c>
      <c r="E1926">
        <v>30</v>
      </c>
      <c r="F1926" s="765">
        <v>9247.4599999999991</v>
      </c>
    </row>
    <row r="1927" spans="1:6">
      <c r="A1927" s="143">
        <v>12079</v>
      </c>
      <c r="B1927" t="s">
        <v>6261</v>
      </c>
      <c r="C1927" t="s">
        <v>6989</v>
      </c>
      <c r="D1927" s="45" t="s">
        <v>7410</v>
      </c>
      <c r="E1927">
        <v>30</v>
      </c>
      <c r="F1927" s="765">
        <v>633.09</v>
      </c>
    </row>
    <row r="1928" spans="1:6">
      <c r="A1928" s="143">
        <v>12083</v>
      </c>
      <c r="B1928" t="s">
        <v>7411</v>
      </c>
      <c r="C1928" t="s">
        <v>7412</v>
      </c>
      <c r="D1928" s="45" t="s">
        <v>7413</v>
      </c>
      <c r="E1928">
        <v>30</v>
      </c>
      <c r="F1928" s="765">
        <v>148.26</v>
      </c>
    </row>
    <row r="1929" spans="1:6">
      <c r="A1929" s="143">
        <v>12087</v>
      </c>
      <c r="B1929" t="s">
        <v>6455</v>
      </c>
      <c r="C1929" t="s">
        <v>6990</v>
      </c>
      <c r="D1929" s="45" t="s">
        <v>7414</v>
      </c>
      <c r="E1929">
        <v>30</v>
      </c>
      <c r="F1929" s="765">
        <v>558.11</v>
      </c>
    </row>
    <row r="1930" spans="1:6">
      <c r="A1930" s="143">
        <v>12088</v>
      </c>
      <c r="B1930" t="s">
        <v>6430</v>
      </c>
      <c r="C1930" t="s">
        <v>7415</v>
      </c>
      <c r="D1930" s="45" t="s">
        <v>7416</v>
      </c>
      <c r="E1930">
        <v>30</v>
      </c>
      <c r="F1930" s="765">
        <v>1545.89</v>
      </c>
    </row>
    <row r="1931" spans="1:6">
      <c r="A1931" s="143">
        <v>12089</v>
      </c>
      <c r="B1931" t="s">
        <v>6649</v>
      </c>
      <c r="C1931" t="s">
        <v>6650</v>
      </c>
      <c r="D1931" s="45" t="s">
        <v>7417</v>
      </c>
      <c r="E1931">
        <v>30</v>
      </c>
      <c r="F1931" s="765">
        <v>2921.4</v>
      </c>
    </row>
    <row r="1932" spans="1:6">
      <c r="A1932" s="143">
        <v>12090</v>
      </c>
      <c r="B1932" t="s">
        <v>6538</v>
      </c>
      <c r="C1932" t="s">
        <v>6628</v>
      </c>
      <c r="D1932" s="45" t="s">
        <v>7418</v>
      </c>
      <c r="E1932">
        <v>30</v>
      </c>
      <c r="F1932" s="765">
        <v>161.72999999999999</v>
      </c>
    </row>
    <row r="1933" spans="1:6">
      <c r="A1933" s="143">
        <v>12094</v>
      </c>
      <c r="B1933" t="s">
        <v>6820</v>
      </c>
      <c r="C1933" t="s">
        <v>6993</v>
      </c>
      <c r="D1933" s="45" t="s">
        <v>7419</v>
      </c>
      <c r="E1933">
        <v>30</v>
      </c>
      <c r="F1933" s="765">
        <v>161.72999999999999</v>
      </c>
    </row>
    <row r="1934" spans="1:6">
      <c r="A1934" s="143">
        <v>12095</v>
      </c>
      <c r="B1934" t="s">
        <v>6822</v>
      </c>
      <c r="C1934" t="s">
        <v>6934</v>
      </c>
      <c r="D1934" s="45" t="s">
        <v>7420</v>
      </c>
      <c r="E1934">
        <v>30</v>
      </c>
      <c r="F1934" s="765">
        <v>24957.57</v>
      </c>
    </row>
    <row r="1935" spans="1:6">
      <c r="A1935" s="143">
        <v>51019</v>
      </c>
      <c r="B1935" t="s">
        <v>3426</v>
      </c>
      <c r="C1935" t="s">
        <v>3663</v>
      </c>
      <c r="D1935" s="45" t="s">
        <v>7421</v>
      </c>
      <c r="E1935">
        <v>30</v>
      </c>
      <c r="F1935" s="765">
        <v>602.38</v>
      </c>
    </row>
    <row r="1936" spans="1:6">
      <c r="A1936" s="143">
        <v>51028</v>
      </c>
      <c r="B1936" t="s">
        <v>5960</v>
      </c>
      <c r="C1936" t="s">
        <v>6290</v>
      </c>
      <c r="D1936" s="45" t="s">
        <v>7422</v>
      </c>
      <c r="E1936">
        <v>30</v>
      </c>
      <c r="F1936" s="765">
        <v>1580.24</v>
      </c>
    </row>
    <row r="1937" spans="1:6">
      <c r="A1937" s="143">
        <v>51029</v>
      </c>
      <c r="B1937" t="s">
        <v>5962</v>
      </c>
      <c r="C1937" t="s">
        <v>6176</v>
      </c>
      <c r="D1937" s="45" t="s">
        <v>7423</v>
      </c>
      <c r="E1937">
        <v>30</v>
      </c>
      <c r="F1937" s="765">
        <v>1580.24</v>
      </c>
    </row>
    <row r="1938" spans="1:6">
      <c r="A1938" s="143">
        <v>11471</v>
      </c>
      <c r="B1938" t="s">
        <v>5745</v>
      </c>
      <c r="C1938" t="s">
        <v>5753</v>
      </c>
      <c r="D1938" s="45" t="s">
        <v>6924</v>
      </c>
      <c r="E1938">
        <v>31</v>
      </c>
      <c r="F1938" s="765">
        <v>69283.25</v>
      </c>
    </row>
    <row r="1939" spans="1:6">
      <c r="A1939" s="143">
        <v>11471</v>
      </c>
      <c r="B1939" t="s">
        <v>5745</v>
      </c>
      <c r="C1939" t="s">
        <v>5753</v>
      </c>
      <c r="D1939" s="45" t="s">
        <v>6925</v>
      </c>
      <c r="E1939">
        <v>36</v>
      </c>
      <c r="F1939" s="765">
        <v>2336.42</v>
      </c>
    </row>
    <row r="1940" spans="1:6">
      <c r="A1940" s="143">
        <v>11604</v>
      </c>
      <c r="B1940" t="s">
        <v>3477</v>
      </c>
      <c r="C1940" t="s">
        <v>3478</v>
      </c>
      <c r="D1940" s="45" t="s">
        <v>6926</v>
      </c>
      <c r="E1940">
        <v>42</v>
      </c>
      <c r="F1940" s="765">
        <v>2858.69</v>
      </c>
    </row>
    <row r="1941" spans="1:6">
      <c r="A1941" s="143">
        <v>11604</v>
      </c>
      <c r="B1941" t="s">
        <v>3477</v>
      </c>
      <c r="C1941" t="s">
        <v>3478</v>
      </c>
      <c r="D1941" s="45" t="s">
        <v>6927</v>
      </c>
      <c r="E1941">
        <v>42</v>
      </c>
      <c r="F1941" s="765">
        <v>2858.69</v>
      </c>
    </row>
    <row r="1942" spans="1:6">
      <c r="A1942" s="143">
        <v>11604</v>
      </c>
      <c r="B1942" t="s">
        <v>3477</v>
      </c>
      <c r="C1942" t="s">
        <v>3478</v>
      </c>
      <c r="D1942" s="45" t="s">
        <v>6928</v>
      </c>
      <c r="E1942">
        <v>42</v>
      </c>
      <c r="F1942" s="765">
        <v>998.59</v>
      </c>
    </row>
    <row r="1943" spans="1:6">
      <c r="A1943" s="143">
        <v>11604</v>
      </c>
      <c r="B1943" t="s">
        <v>3477</v>
      </c>
      <c r="C1943" t="s">
        <v>3478</v>
      </c>
      <c r="D1943" s="45" t="s">
        <v>6929</v>
      </c>
      <c r="E1943">
        <v>42</v>
      </c>
      <c r="F1943" s="765">
        <v>2858.69</v>
      </c>
    </row>
    <row r="1944" spans="1:6">
      <c r="A1944" s="143">
        <v>11604</v>
      </c>
      <c r="B1944" t="s">
        <v>3477</v>
      </c>
      <c r="C1944" t="s">
        <v>3478</v>
      </c>
      <c r="D1944" s="45" t="s">
        <v>6930</v>
      </c>
      <c r="E1944">
        <v>42</v>
      </c>
      <c r="F1944" s="765">
        <v>998.59</v>
      </c>
    </row>
    <row r="1945" spans="1:6">
      <c r="A1945" s="143">
        <v>11943</v>
      </c>
      <c r="B1945" t="s">
        <v>5748</v>
      </c>
      <c r="C1945" t="s">
        <v>5761</v>
      </c>
      <c r="D1945" s="45" t="s">
        <v>6931</v>
      </c>
      <c r="E1945">
        <v>44</v>
      </c>
      <c r="F1945" s="765">
        <v>1374.37</v>
      </c>
    </row>
    <row r="1946" spans="1:6">
      <c r="A1946" s="143">
        <v>11943</v>
      </c>
      <c r="B1946" t="s">
        <v>5748</v>
      </c>
      <c r="C1946" t="s">
        <v>5761</v>
      </c>
      <c r="D1946" s="45" t="s">
        <v>6932</v>
      </c>
      <c r="E1946">
        <v>44</v>
      </c>
      <c r="F1946" s="765">
        <v>1374.37</v>
      </c>
    </row>
    <row r="1947" spans="1:6">
      <c r="A1947" s="143">
        <v>11943</v>
      </c>
      <c r="B1947" t="s">
        <v>5748</v>
      </c>
      <c r="C1947" t="s">
        <v>5761</v>
      </c>
      <c r="D1947" s="45" t="s">
        <v>6933</v>
      </c>
      <c r="E1947">
        <v>44</v>
      </c>
      <c r="F1947" s="765">
        <v>1374.37</v>
      </c>
    </row>
    <row r="1948" spans="1:6">
      <c r="A1948" s="143">
        <v>11321</v>
      </c>
      <c r="B1948" t="s">
        <v>3383</v>
      </c>
      <c r="C1948" t="s">
        <v>3449</v>
      </c>
      <c r="D1948" s="45" t="s">
        <v>6935</v>
      </c>
      <c r="E1948">
        <v>51</v>
      </c>
      <c r="F1948" s="765">
        <v>6617.19</v>
      </c>
    </row>
    <row r="1949" spans="1:6">
      <c r="A1949" s="143">
        <v>11321</v>
      </c>
      <c r="B1949" t="s">
        <v>3383</v>
      </c>
      <c r="C1949" t="s">
        <v>3449</v>
      </c>
      <c r="D1949" s="45" t="s">
        <v>6936</v>
      </c>
      <c r="E1949">
        <v>51</v>
      </c>
      <c r="F1949" s="765">
        <v>5525.57</v>
      </c>
    </row>
    <row r="1950" spans="1:6">
      <c r="A1950" s="143">
        <v>11418</v>
      </c>
      <c r="B1950" t="s">
        <v>6734</v>
      </c>
      <c r="C1950" t="s">
        <v>6803</v>
      </c>
      <c r="D1950" s="45" t="s">
        <v>6937</v>
      </c>
      <c r="E1950">
        <v>57</v>
      </c>
      <c r="F1950" s="765">
        <v>14199.44</v>
      </c>
    </row>
    <row r="1951" spans="1:6">
      <c r="A1951" s="143">
        <v>11946</v>
      </c>
      <c r="B1951" t="s">
        <v>3412</v>
      </c>
      <c r="C1951" t="s">
        <v>3490</v>
      </c>
      <c r="D1951" s="45" t="s">
        <v>6938</v>
      </c>
      <c r="E1951">
        <v>57</v>
      </c>
      <c r="F1951" s="765">
        <v>82.46</v>
      </c>
    </row>
    <row r="1952" spans="1:6">
      <c r="A1952" s="143">
        <v>11946</v>
      </c>
      <c r="B1952" t="s">
        <v>3412</v>
      </c>
      <c r="C1952" t="s">
        <v>3490</v>
      </c>
      <c r="D1952" s="45" t="s">
        <v>6939</v>
      </c>
      <c r="E1952">
        <v>57</v>
      </c>
      <c r="F1952" s="765">
        <v>82.46</v>
      </c>
    </row>
    <row r="1953" spans="1:6">
      <c r="A1953" s="143">
        <v>11002</v>
      </c>
      <c r="B1953" t="s">
        <v>1123</v>
      </c>
      <c r="C1953" t="s">
        <v>3501</v>
      </c>
      <c r="D1953" s="45" t="s">
        <v>6940</v>
      </c>
      <c r="E1953">
        <v>58</v>
      </c>
      <c r="F1953" s="765">
        <v>173254.2</v>
      </c>
    </row>
    <row r="1954" spans="1:6">
      <c r="A1954" s="143">
        <v>11089</v>
      </c>
      <c r="B1954" t="s">
        <v>3375</v>
      </c>
      <c r="C1954" t="s">
        <v>3451</v>
      </c>
      <c r="D1954" s="45" t="s">
        <v>6941</v>
      </c>
      <c r="E1954">
        <v>58</v>
      </c>
      <c r="F1954" s="765">
        <v>1017.03</v>
      </c>
    </row>
    <row r="1955" spans="1:6">
      <c r="A1955" s="143">
        <v>11751</v>
      </c>
      <c r="B1955" t="s">
        <v>6768</v>
      </c>
      <c r="C1955" t="s">
        <v>6769</v>
      </c>
      <c r="D1955" s="45" t="s">
        <v>6942</v>
      </c>
      <c r="E1955">
        <v>58</v>
      </c>
      <c r="F1955" s="765">
        <v>518.47</v>
      </c>
    </row>
    <row r="1956" spans="1:6">
      <c r="A1956" s="143">
        <v>12002</v>
      </c>
      <c r="B1956" t="s">
        <v>3460</v>
      </c>
      <c r="C1956" t="s">
        <v>3461</v>
      </c>
      <c r="D1956" s="45" t="s">
        <v>6943</v>
      </c>
      <c r="E1956">
        <v>58</v>
      </c>
      <c r="F1956" s="765">
        <v>4600.63</v>
      </c>
    </row>
    <row r="1957" spans="1:6">
      <c r="A1957" s="143">
        <v>21012</v>
      </c>
      <c r="B1957" t="s">
        <v>6916</v>
      </c>
      <c r="C1957" t="s">
        <v>6944</v>
      </c>
      <c r="D1957" s="45" t="s">
        <v>6945</v>
      </c>
      <c r="E1957">
        <v>58</v>
      </c>
      <c r="F1957" s="765">
        <v>1471.68</v>
      </c>
    </row>
    <row r="1958" spans="1:6">
      <c r="A1958" s="143">
        <v>21096</v>
      </c>
      <c r="B1958" t="s">
        <v>6307</v>
      </c>
      <c r="C1958" t="s">
        <v>6308</v>
      </c>
      <c r="D1958" s="45" t="s">
        <v>6946</v>
      </c>
      <c r="E1958">
        <v>58</v>
      </c>
      <c r="F1958" s="765">
        <v>3333.14</v>
      </c>
    </row>
    <row r="1959" spans="1:6">
      <c r="A1959" s="143">
        <v>11053</v>
      </c>
      <c r="B1959" t="s">
        <v>3372</v>
      </c>
      <c r="C1959" t="s">
        <v>3466</v>
      </c>
      <c r="D1959" s="45" t="s">
        <v>6947</v>
      </c>
      <c r="E1959">
        <v>59</v>
      </c>
      <c r="F1959" s="765">
        <v>11262.85</v>
      </c>
    </row>
    <row r="1960" spans="1:6">
      <c r="A1960" s="143">
        <v>11053</v>
      </c>
      <c r="B1960" t="s">
        <v>3372</v>
      </c>
      <c r="C1960" t="s">
        <v>3466</v>
      </c>
      <c r="D1960" s="45" t="s">
        <v>6948</v>
      </c>
      <c r="E1960">
        <v>59</v>
      </c>
      <c r="F1960" s="765">
        <v>840.24</v>
      </c>
    </row>
    <row r="1961" spans="1:6">
      <c r="A1961" s="143">
        <v>11073</v>
      </c>
      <c r="B1961" t="s">
        <v>6478</v>
      </c>
      <c r="C1961" t="s">
        <v>6504</v>
      </c>
      <c r="D1961" s="45" t="s">
        <v>6949</v>
      </c>
      <c r="E1961">
        <v>59</v>
      </c>
      <c r="F1961" s="765">
        <v>10414.370000000001</v>
      </c>
    </row>
    <row r="1962" spans="1:6">
      <c r="A1962" s="143">
        <v>11073</v>
      </c>
      <c r="B1962" t="s">
        <v>6478</v>
      </c>
      <c r="C1962" t="s">
        <v>6504</v>
      </c>
      <c r="D1962" s="45" t="s">
        <v>6950</v>
      </c>
      <c r="E1962">
        <v>59</v>
      </c>
      <c r="F1962" s="765">
        <v>21218.52</v>
      </c>
    </row>
    <row r="1963" spans="1:6">
      <c r="A1963" s="143">
        <v>11073</v>
      </c>
      <c r="B1963" t="s">
        <v>6478</v>
      </c>
      <c r="C1963" t="s">
        <v>6504</v>
      </c>
      <c r="D1963" s="45" t="s">
        <v>6951</v>
      </c>
      <c r="E1963">
        <v>59</v>
      </c>
      <c r="F1963" s="765">
        <v>1502.25</v>
      </c>
    </row>
    <row r="1964" spans="1:6">
      <c r="A1964" s="143">
        <v>11413</v>
      </c>
      <c r="B1964" t="s">
        <v>3388</v>
      </c>
      <c r="C1964" t="s">
        <v>3471</v>
      </c>
      <c r="D1964" s="45" t="s">
        <v>6952</v>
      </c>
      <c r="E1964">
        <v>59</v>
      </c>
      <c r="F1964" s="765">
        <v>15531.03</v>
      </c>
    </row>
    <row r="1965" spans="1:6">
      <c r="A1965" s="143">
        <v>11413</v>
      </c>
      <c r="B1965" t="s">
        <v>3388</v>
      </c>
      <c r="C1965" t="s">
        <v>3471</v>
      </c>
      <c r="D1965" s="45" t="s">
        <v>6953</v>
      </c>
      <c r="E1965">
        <v>59</v>
      </c>
      <c r="F1965" s="765">
        <v>3855.79</v>
      </c>
    </row>
    <row r="1966" spans="1:6">
      <c r="A1966" s="143">
        <v>11413</v>
      </c>
      <c r="B1966" t="s">
        <v>3388</v>
      </c>
      <c r="C1966" t="s">
        <v>3471</v>
      </c>
      <c r="D1966" s="45" t="s">
        <v>6954</v>
      </c>
      <c r="E1966">
        <v>59</v>
      </c>
      <c r="F1966" s="765">
        <v>6900.94</v>
      </c>
    </row>
    <row r="1967" spans="1:6">
      <c r="A1967" s="143">
        <v>11505</v>
      </c>
      <c r="B1967" t="s">
        <v>3475</v>
      </c>
      <c r="C1967" t="s">
        <v>3476</v>
      </c>
      <c r="D1967" s="45" t="s">
        <v>6955</v>
      </c>
      <c r="E1967">
        <v>59</v>
      </c>
      <c r="F1967" s="765">
        <v>10473.34</v>
      </c>
    </row>
    <row r="1968" spans="1:6">
      <c r="A1968" s="143">
        <v>11728</v>
      </c>
      <c r="B1968" t="s">
        <v>6764</v>
      </c>
      <c r="C1968" t="s">
        <v>6765</v>
      </c>
      <c r="D1968" s="45" t="s">
        <v>6956</v>
      </c>
      <c r="E1968">
        <v>59</v>
      </c>
      <c r="F1968" s="765">
        <v>5827.32</v>
      </c>
    </row>
    <row r="1969" spans="1:6">
      <c r="A1969" s="143">
        <v>11728</v>
      </c>
      <c r="B1969" t="s">
        <v>6764</v>
      </c>
      <c r="C1969" t="s">
        <v>6765</v>
      </c>
      <c r="D1969" s="45" t="s">
        <v>6957</v>
      </c>
      <c r="E1969">
        <v>59</v>
      </c>
      <c r="F1969" s="765">
        <v>5662.39</v>
      </c>
    </row>
    <row r="1970" spans="1:6">
      <c r="A1970" s="143">
        <v>11736</v>
      </c>
      <c r="B1970" t="s">
        <v>1026</v>
      </c>
      <c r="C1970" t="s">
        <v>3481</v>
      </c>
      <c r="D1970" s="45" t="s">
        <v>6958</v>
      </c>
      <c r="E1970">
        <v>59</v>
      </c>
      <c r="F1970" s="765">
        <v>420.17</v>
      </c>
    </row>
    <row r="1971" spans="1:6">
      <c r="A1971" s="143">
        <v>11737</v>
      </c>
      <c r="B1971" t="s">
        <v>1026</v>
      </c>
      <c r="C1971" t="s">
        <v>3481</v>
      </c>
      <c r="D1971" s="45" t="s">
        <v>6959</v>
      </c>
      <c r="E1971">
        <v>59</v>
      </c>
      <c r="F1971" s="765">
        <v>2750.85</v>
      </c>
    </row>
    <row r="1972" spans="1:6">
      <c r="A1972" s="143">
        <v>11764</v>
      </c>
      <c r="B1972" t="s">
        <v>5327</v>
      </c>
      <c r="C1972" t="s">
        <v>5349</v>
      </c>
      <c r="D1972" s="45" t="s">
        <v>6960</v>
      </c>
      <c r="E1972">
        <v>59</v>
      </c>
      <c r="F1972" s="765">
        <v>3456.63</v>
      </c>
    </row>
    <row r="1973" spans="1:6">
      <c r="A1973" s="143">
        <v>11816</v>
      </c>
      <c r="B1973" t="s">
        <v>6304</v>
      </c>
      <c r="C1973" t="s">
        <v>6305</v>
      </c>
      <c r="D1973" s="45" t="s">
        <v>6961</v>
      </c>
      <c r="E1973">
        <v>59</v>
      </c>
      <c r="F1973" s="765">
        <v>2302.14</v>
      </c>
    </row>
    <row r="1974" spans="1:6">
      <c r="A1974" s="143">
        <v>11816</v>
      </c>
      <c r="B1974" t="s">
        <v>6304</v>
      </c>
      <c r="C1974" t="s">
        <v>6305</v>
      </c>
      <c r="D1974" s="45" t="s">
        <v>6962</v>
      </c>
      <c r="E1974">
        <v>59</v>
      </c>
      <c r="F1974" s="765">
        <v>4680.38</v>
      </c>
    </row>
    <row r="1975" spans="1:6">
      <c r="A1975" s="143">
        <v>11816</v>
      </c>
      <c r="B1975" t="s">
        <v>6304</v>
      </c>
      <c r="C1975" t="s">
        <v>6305</v>
      </c>
      <c r="D1975" s="45" t="s">
        <v>6963</v>
      </c>
      <c r="E1975">
        <v>59</v>
      </c>
      <c r="F1975" s="765">
        <v>2103.96</v>
      </c>
    </row>
    <row r="1976" spans="1:6">
      <c r="A1976" s="143">
        <v>11830</v>
      </c>
      <c r="B1976" t="s">
        <v>5611</v>
      </c>
      <c r="C1976" t="s">
        <v>5618</v>
      </c>
      <c r="D1976" s="45" t="s">
        <v>6964</v>
      </c>
      <c r="E1976">
        <v>59</v>
      </c>
      <c r="F1976" s="765">
        <v>158.82</v>
      </c>
    </row>
    <row r="1977" spans="1:6">
      <c r="A1977" s="143">
        <v>11846</v>
      </c>
      <c r="B1977" t="s">
        <v>2100</v>
      </c>
      <c r="C1977" t="s">
        <v>3489</v>
      </c>
      <c r="D1977" s="45" t="s">
        <v>6965</v>
      </c>
      <c r="E1977">
        <v>59</v>
      </c>
      <c r="F1977" s="765">
        <v>14612.59</v>
      </c>
    </row>
    <row r="1978" spans="1:6">
      <c r="A1978" s="143">
        <v>11865</v>
      </c>
      <c r="B1978" t="s">
        <v>6881</v>
      </c>
      <c r="C1978" t="s">
        <v>6966</v>
      </c>
      <c r="D1978" s="45" t="s">
        <v>6967</v>
      </c>
      <c r="E1978">
        <v>59</v>
      </c>
      <c r="F1978" s="765">
        <v>759.48</v>
      </c>
    </row>
    <row r="1979" spans="1:6">
      <c r="A1979" s="143">
        <v>11888</v>
      </c>
      <c r="B1979" t="s">
        <v>1705</v>
      </c>
      <c r="C1979" t="s">
        <v>5351</v>
      </c>
      <c r="D1979" s="45" t="s">
        <v>6968</v>
      </c>
      <c r="E1979">
        <v>59</v>
      </c>
      <c r="F1979" s="765">
        <v>3307.87</v>
      </c>
    </row>
    <row r="1980" spans="1:6">
      <c r="A1980" s="143">
        <v>11909</v>
      </c>
      <c r="B1980" t="s">
        <v>2125</v>
      </c>
      <c r="C1980" t="s">
        <v>6512</v>
      </c>
      <c r="D1980" s="45" t="s">
        <v>6969</v>
      </c>
      <c r="E1980">
        <v>59</v>
      </c>
      <c r="F1980" s="765">
        <v>6891.33</v>
      </c>
    </row>
    <row r="1981" spans="1:6">
      <c r="A1981" s="143">
        <v>11921</v>
      </c>
      <c r="B1981" t="s">
        <v>3409</v>
      </c>
      <c r="C1981" t="s">
        <v>3729</v>
      </c>
      <c r="D1981" s="45" t="s">
        <v>6970</v>
      </c>
      <c r="E1981">
        <v>59</v>
      </c>
      <c r="F1981" s="765">
        <v>4738.18</v>
      </c>
    </row>
    <row r="1982" spans="1:6">
      <c r="A1982" s="143">
        <v>11925</v>
      </c>
      <c r="B1982" t="s">
        <v>6886</v>
      </c>
      <c r="C1982" t="s">
        <v>6971</v>
      </c>
      <c r="D1982" s="45" t="s">
        <v>6972</v>
      </c>
      <c r="E1982">
        <v>59</v>
      </c>
      <c r="F1982" s="765">
        <v>1073.3900000000001</v>
      </c>
    </row>
    <row r="1983" spans="1:6">
      <c r="A1983" s="143">
        <v>11942</v>
      </c>
      <c r="B1983" t="s">
        <v>6391</v>
      </c>
      <c r="C1983" t="s">
        <v>6401</v>
      </c>
      <c r="D1983" s="45" t="s">
        <v>6973</v>
      </c>
      <c r="E1983">
        <v>59</v>
      </c>
      <c r="F1983" s="765">
        <v>1154.46</v>
      </c>
    </row>
    <row r="1984" spans="1:6">
      <c r="A1984" s="143">
        <v>11950</v>
      </c>
      <c r="B1984" t="s">
        <v>6514</v>
      </c>
      <c r="C1984" t="s">
        <v>6515</v>
      </c>
      <c r="D1984" s="45" t="s">
        <v>6974</v>
      </c>
      <c r="E1984">
        <v>59</v>
      </c>
      <c r="F1984" s="765">
        <v>11613.7</v>
      </c>
    </row>
    <row r="1985" spans="1:6">
      <c r="A1985" s="143">
        <v>11964</v>
      </c>
      <c r="B1985" t="s">
        <v>6896</v>
      </c>
      <c r="C1985" t="s">
        <v>6975</v>
      </c>
      <c r="D1985" s="45" t="s">
        <v>6976</v>
      </c>
      <c r="E1985">
        <v>59</v>
      </c>
      <c r="F1985" s="765">
        <v>693.68</v>
      </c>
    </row>
    <row r="1986" spans="1:6">
      <c r="A1986" s="143">
        <v>11981</v>
      </c>
      <c r="B1986" t="s">
        <v>5286</v>
      </c>
      <c r="C1986" t="s">
        <v>5308</v>
      </c>
      <c r="D1986" s="45" t="s">
        <v>6977</v>
      </c>
      <c r="E1986">
        <v>59</v>
      </c>
      <c r="F1986" s="765">
        <v>1352.05</v>
      </c>
    </row>
    <row r="1987" spans="1:6">
      <c r="A1987" s="143">
        <v>12011</v>
      </c>
      <c r="B1987" t="s">
        <v>3293</v>
      </c>
      <c r="C1987" t="s">
        <v>3442</v>
      </c>
      <c r="D1987" s="45" t="s">
        <v>6978</v>
      </c>
      <c r="E1987">
        <v>59</v>
      </c>
      <c r="F1987" s="765">
        <v>533.79999999999995</v>
      </c>
    </row>
    <row r="1988" spans="1:6">
      <c r="A1988" s="143">
        <v>12018</v>
      </c>
      <c r="B1988" t="s">
        <v>6979</v>
      </c>
      <c r="C1988" t="s">
        <v>6980</v>
      </c>
      <c r="D1988" s="45" t="s">
        <v>6981</v>
      </c>
      <c r="E1988">
        <v>59</v>
      </c>
      <c r="F1988" s="765">
        <v>1036.94</v>
      </c>
    </row>
    <row r="1989" spans="1:6">
      <c r="A1989" s="143">
        <v>12019</v>
      </c>
      <c r="B1989" t="s">
        <v>6157</v>
      </c>
      <c r="C1989" t="s">
        <v>6185</v>
      </c>
      <c r="D1989" s="45" t="s">
        <v>6982</v>
      </c>
      <c r="E1989">
        <v>59</v>
      </c>
      <c r="F1989" s="765">
        <v>125.13</v>
      </c>
    </row>
    <row r="1990" spans="1:6">
      <c r="A1990" s="143">
        <v>12020</v>
      </c>
      <c r="B1990" t="s">
        <v>6727</v>
      </c>
      <c r="C1990" t="s">
        <v>6785</v>
      </c>
      <c r="D1990" s="45" t="s">
        <v>6983</v>
      </c>
      <c r="E1990">
        <v>59</v>
      </c>
      <c r="F1990" s="765">
        <v>116.14</v>
      </c>
    </row>
    <row r="1991" spans="1:6">
      <c r="A1991" s="143">
        <v>12026</v>
      </c>
      <c r="B1991" t="s">
        <v>4029</v>
      </c>
      <c r="C1991" t="s">
        <v>4031</v>
      </c>
      <c r="D1991" s="45" t="s">
        <v>6984</v>
      </c>
      <c r="E1991">
        <v>59</v>
      </c>
      <c r="F1991" s="765">
        <v>2102.6799999999998</v>
      </c>
    </row>
    <row r="1992" spans="1:6">
      <c r="A1992" s="143">
        <v>12045</v>
      </c>
      <c r="B1992" t="s">
        <v>5270</v>
      </c>
      <c r="C1992" t="s">
        <v>6646</v>
      </c>
      <c r="D1992" s="45" t="s">
        <v>6985</v>
      </c>
      <c r="E1992">
        <v>59</v>
      </c>
      <c r="F1992" s="765">
        <v>415.79</v>
      </c>
    </row>
    <row r="1993" spans="1:6">
      <c r="A1993" s="143">
        <v>12055</v>
      </c>
      <c r="B1993" t="s">
        <v>5663</v>
      </c>
      <c r="C1993" t="s">
        <v>6788</v>
      </c>
      <c r="D1993" s="45" t="s">
        <v>6986</v>
      </c>
      <c r="E1993">
        <v>59</v>
      </c>
      <c r="F1993" s="765">
        <v>131.97999999999999</v>
      </c>
    </row>
    <row r="1994" spans="1:6">
      <c r="A1994" s="143">
        <v>12057</v>
      </c>
      <c r="B1994" t="s">
        <v>5665</v>
      </c>
      <c r="C1994" t="s">
        <v>5755</v>
      </c>
      <c r="D1994" s="45" t="s">
        <v>6987</v>
      </c>
      <c r="E1994">
        <v>59</v>
      </c>
      <c r="F1994" s="765">
        <v>677.02</v>
      </c>
    </row>
    <row r="1995" spans="1:6">
      <c r="A1995" s="143">
        <v>12060</v>
      </c>
      <c r="B1995" t="s">
        <v>6606</v>
      </c>
      <c r="C1995" t="s">
        <v>6621</v>
      </c>
      <c r="D1995" s="45" t="s">
        <v>6988</v>
      </c>
      <c r="E1995">
        <v>59</v>
      </c>
      <c r="F1995" s="765">
        <v>1073.3900000000001</v>
      </c>
    </row>
    <row r="1996" spans="1:6">
      <c r="A1996" s="143">
        <v>12087</v>
      </c>
      <c r="B1996" t="s">
        <v>6455</v>
      </c>
      <c r="C1996" t="s">
        <v>6990</v>
      </c>
      <c r="D1996" s="45" t="s">
        <v>6991</v>
      </c>
      <c r="E1996">
        <v>59</v>
      </c>
      <c r="F1996" s="765">
        <v>677.02</v>
      </c>
    </row>
    <row r="1997" spans="1:6">
      <c r="A1997" s="143">
        <v>12090</v>
      </c>
      <c r="B1997" t="s">
        <v>6538</v>
      </c>
      <c r="C1997" t="s">
        <v>6628</v>
      </c>
      <c r="D1997" s="45" t="s">
        <v>6992</v>
      </c>
      <c r="E1997">
        <v>59</v>
      </c>
      <c r="F1997" s="765">
        <v>160.15</v>
      </c>
    </row>
    <row r="1998" spans="1:6">
      <c r="A1998" s="143">
        <v>12094</v>
      </c>
      <c r="B1998" t="s">
        <v>6820</v>
      </c>
      <c r="C1998" t="s">
        <v>6993</v>
      </c>
      <c r="D1998" s="45" t="s">
        <v>6994</v>
      </c>
      <c r="E1998">
        <v>59</v>
      </c>
      <c r="F1998" s="765">
        <v>478.83</v>
      </c>
    </row>
    <row r="1999" spans="1:6">
      <c r="A1999" s="143">
        <v>11023</v>
      </c>
      <c r="B1999" t="s">
        <v>3371</v>
      </c>
      <c r="C1999" t="s">
        <v>3465</v>
      </c>
      <c r="D1999" s="45" t="s">
        <v>7424</v>
      </c>
      <c r="E1999">
        <v>60</v>
      </c>
      <c r="F1999" s="765">
        <v>17.420000000000002</v>
      </c>
    </row>
    <row r="2000" spans="1:6">
      <c r="A2000" s="143">
        <v>11232</v>
      </c>
      <c r="B2000" t="s">
        <v>3380</v>
      </c>
      <c r="C2000" t="s">
        <v>3506</v>
      </c>
      <c r="D2000" s="45" t="s">
        <v>6996</v>
      </c>
      <c r="E2000">
        <v>60</v>
      </c>
      <c r="F2000" s="765">
        <v>1621.76</v>
      </c>
    </row>
    <row r="2001" spans="1:6">
      <c r="A2001" s="143">
        <v>11320</v>
      </c>
      <c r="B2001" t="s">
        <v>3380</v>
      </c>
      <c r="C2001" t="s">
        <v>3506</v>
      </c>
      <c r="D2001" s="45" t="s">
        <v>6997</v>
      </c>
      <c r="E2001">
        <v>60</v>
      </c>
      <c r="F2001" s="765">
        <v>80655.8</v>
      </c>
    </row>
    <row r="2002" spans="1:6">
      <c r="A2002" s="143">
        <v>11404</v>
      </c>
      <c r="B2002" t="s">
        <v>3387</v>
      </c>
      <c r="C2002" t="s">
        <v>3506</v>
      </c>
      <c r="D2002" s="45" t="s">
        <v>6998</v>
      </c>
      <c r="E2002">
        <v>60</v>
      </c>
      <c r="F2002" s="765">
        <v>797.13</v>
      </c>
    </row>
    <row r="2003" spans="1:6">
      <c r="A2003" s="143">
        <v>11974</v>
      </c>
      <c r="B2003" t="s">
        <v>3519</v>
      </c>
      <c r="C2003" t="s">
        <v>3520</v>
      </c>
      <c r="D2003" s="45" t="s">
        <v>7002</v>
      </c>
      <c r="E2003">
        <v>60</v>
      </c>
      <c r="F2003" s="765">
        <v>248.91</v>
      </c>
    </row>
    <row r="2004" spans="1:6">
      <c r="A2004" s="143">
        <v>11546</v>
      </c>
      <c r="B2004" t="s">
        <v>6805</v>
      </c>
      <c r="C2004" t="s">
        <v>6806</v>
      </c>
      <c r="D2004" s="45" t="s">
        <v>6999</v>
      </c>
      <c r="E2004">
        <v>60</v>
      </c>
      <c r="F2004" s="765">
        <v>14607.89</v>
      </c>
    </row>
    <row r="2005" spans="1:6">
      <c r="A2005" s="143">
        <v>11802</v>
      </c>
      <c r="B2005" t="s">
        <v>3400</v>
      </c>
      <c r="C2005" t="s">
        <v>3516</v>
      </c>
      <c r="D2005" s="45" t="s">
        <v>7000</v>
      </c>
      <c r="E2005">
        <v>60</v>
      </c>
      <c r="F2005" s="765">
        <v>9381.08</v>
      </c>
    </row>
    <row r="2006" spans="1:6">
      <c r="A2006" s="143">
        <v>11814</v>
      </c>
      <c r="B2006" t="s">
        <v>3405</v>
      </c>
      <c r="C2006" t="s">
        <v>3517</v>
      </c>
      <c r="D2006" s="45" t="s">
        <v>7001</v>
      </c>
      <c r="E2006">
        <v>60</v>
      </c>
      <c r="F2006" s="765">
        <v>3882.49</v>
      </c>
    </row>
    <row r="2007" spans="1:6">
      <c r="A2007" s="143">
        <v>11905</v>
      </c>
      <c r="B2007" t="s">
        <v>3408</v>
      </c>
      <c r="C2007" t="s">
        <v>3541</v>
      </c>
      <c r="D2007" s="45" t="s">
        <v>7425</v>
      </c>
      <c r="E2007">
        <v>60</v>
      </c>
      <c r="F2007" s="765">
        <v>423.66</v>
      </c>
    </row>
    <row r="2008" spans="1:6">
      <c r="A2008" s="143">
        <v>31027</v>
      </c>
      <c r="B2008" t="s">
        <v>1033</v>
      </c>
      <c r="C2008" t="s">
        <v>3478</v>
      </c>
      <c r="D2008" s="45" t="s">
        <v>7003</v>
      </c>
      <c r="E2008">
        <v>60</v>
      </c>
      <c r="F2008" s="765">
        <v>1727.81</v>
      </c>
    </row>
    <row r="2009" spans="1:6">
      <c r="A2009" s="143">
        <v>31027</v>
      </c>
      <c r="B2009" t="s">
        <v>1033</v>
      </c>
      <c r="C2009" t="s">
        <v>3478</v>
      </c>
      <c r="D2009" s="45" t="s">
        <v>7004</v>
      </c>
      <c r="E2009">
        <v>60</v>
      </c>
      <c r="F2009" s="765">
        <v>1508.52</v>
      </c>
    </row>
    <row r="2010" spans="1:6">
      <c r="A2010" s="143">
        <v>31030</v>
      </c>
      <c r="B2010" t="s">
        <v>3424</v>
      </c>
      <c r="C2010" t="s">
        <v>3498</v>
      </c>
      <c r="D2010" s="45" t="s">
        <v>7005</v>
      </c>
      <c r="E2010">
        <v>60</v>
      </c>
      <c r="F2010" s="765">
        <v>9413.76</v>
      </c>
    </row>
    <row r="2011" spans="1:6">
      <c r="A2011" s="143">
        <v>51028</v>
      </c>
      <c r="B2011" t="s">
        <v>5960</v>
      </c>
      <c r="C2011" t="s">
        <v>6290</v>
      </c>
      <c r="D2011" s="45" t="s">
        <v>7006</v>
      </c>
      <c r="E2011">
        <v>60</v>
      </c>
      <c r="F2011" s="765">
        <v>1580.24</v>
      </c>
    </row>
    <row r="2012" spans="1:6">
      <c r="A2012" s="143">
        <v>51029</v>
      </c>
      <c r="B2012" t="s">
        <v>5962</v>
      </c>
      <c r="C2012" t="s">
        <v>6176</v>
      </c>
      <c r="D2012" s="45" t="s">
        <v>7007</v>
      </c>
      <c r="E2012">
        <v>60</v>
      </c>
      <c r="F2012" s="765">
        <v>1580.24</v>
      </c>
    </row>
    <row r="2013" spans="1:6">
      <c r="A2013" s="143">
        <v>11444</v>
      </c>
      <c r="B2013" t="s">
        <v>6586</v>
      </c>
      <c r="C2013" t="s">
        <v>3444</v>
      </c>
      <c r="D2013" s="45" t="s">
        <v>6746</v>
      </c>
      <c r="E2013">
        <v>66</v>
      </c>
      <c r="F2013" s="765">
        <v>21396.16</v>
      </c>
    </row>
    <row r="2014" spans="1:6">
      <c r="A2014" s="143">
        <v>11444</v>
      </c>
      <c r="B2014" t="s">
        <v>6586</v>
      </c>
      <c r="C2014" t="s">
        <v>3444</v>
      </c>
      <c r="D2014" s="45" t="s">
        <v>6745</v>
      </c>
      <c r="E2014">
        <v>66</v>
      </c>
      <c r="F2014" s="765">
        <v>111692.4</v>
      </c>
    </row>
    <row r="2015" spans="1:6">
      <c r="A2015" s="143">
        <v>11952</v>
      </c>
      <c r="B2015" t="s">
        <v>3413</v>
      </c>
      <c r="C2015" t="s">
        <v>3445</v>
      </c>
      <c r="D2015" s="45" t="s">
        <v>6747</v>
      </c>
      <c r="E2015">
        <v>66</v>
      </c>
      <c r="F2015" s="765">
        <v>2629.28</v>
      </c>
    </row>
    <row r="2016" spans="1:6">
      <c r="A2016" s="143">
        <v>31024</v>
      </c>
      <c r="B2016" t="s">
        <v>6586</v>
      </c>
      <c r="C2016" t="s">
        <v>3444</v>
      </c>
      <c r="D2016" s="45" t="s">
        <v>6748</v>
      </c>
      <c r="E2016">
        <v>66</v>
      </c>
      <c r="F2016" s="765">
        <v>1953.56</v>
      </c>
    </row>
    <row r="2017" spans="1:6">
      <c r="A2017" s="143">
        <v>11653</v>
      </c>
      <c r="B2017" t="s">
        <v>6750</v>
      </c>
      <c r="C2017" t="s">
        <v>6751</v>
      </c>
      <c r="D2017" s="45" t="s">
        <v>6752</v>
      </c>
      <c r="E2017">
        <v>86</v>
      </c>
      <c r="F2017" s="765">
        <v>4976.08</v>
      </c>
    </row>
    <row r="2018" spans="1:6">
      <c r="A2018" s="143">
        <v>12002</v>
      </c>
      <c r="B2018" t="s">
        <v>3460</v>
      </c>
      <c r="C2018" t="s">
        <v>3461</v>
      </c>
      <c r="D2018" s="45" t="s">
        <v>6753</v>
      </c>
      <c r="E2018">
        <v>87</v>
      </c>
      <c r="F2018" s="765">
        <v>4600.63</v>
      </c>
    </row>
    <row r="2019" spans="1:6">
      <c r="A2019" s="143">
        <v>11053</v>
      </c>
      <c r="B2019" t="s">
        <v>3372</v>
      </c>
      <c r="C2019" t="s">
        <v>3466</v>
      </c>
      <c r="D2019" s="45" t="s">
        <v>6754</v>
      </c>
      <c r="E2019">
        <v>88</v>
      </c>
      <c r="F2019" s="765">
        <v>11557.36</v>
      </c>
    </row>
    <row r="2020" spans="1:6">
      <c r="A2020" s="143">
        <v>11053</v>
      </c>
      <c r="B2020" t="s">
        <v>3372</v>
      </c>
      <c r="C2020" t="s">
        <v>3466</v>
      </c>
      <c r="D2020" s="45" t="s">
        <v>6755</v>
      </c>
      <c r="E2020">
        <v>88</v>
      </c>
      <c r="F2020" s="765">
        <v>1020.59</v>
      </c>
    </row>
    <row r="2021" spans="1:6">
      <c r="A2021" s="143">
        <v>11413</v>
      </c>
      <c r="B2021" t="s">
        <v>3388</v>
      </c>
      <c r="C2021" t="s">
        <v>3471</v>
      </c>
      <c r="D2021" s="45" t="s">
        <v>6756</v>
      </c>
      <c r="E2021">
        <v>88</v>
      </c>
      <c r="F2021" s="765">
        <v>9571.17</v>
      </c>
    </row>
    <row r="2022" spans="1:6">
      <c r="A2022" s="143">
        <v>11413</v>
      </c>
      <c r="B2022" t="s">
        <v>3388</v>
      </c>
      <c r="C2022" t="s">
        <v>3471</v>
      </c>
      <c r="D2022" s="45" t="s">
        <v>6757</v>
      </c>
      <c r="E2022">
        <v>88</v>
      </c>
      <c r="F2022" s="765">
        <v>6900.94</v>
      </c>
    </row>
    <row r="2023" spans="1:6">
      <c r="A2023" s="143">
        <v>11439</v>
      </c>
      <c r="B2023" t="s">
        <v>1022</v>
      </c>
      <c r="C2023" t="s">
        <v>3472</v>
      </c>
      <c r="D2023" s="45" t="s">
        <v>6758</v>
      </c>
      <c r="E2023">
        <v>88</v>
      </c>
      <c r="F2023" s="765">
        <v>1594.26</v>
      </c>
    </row>
    <row r="2024" spans="1:6">
      <c r="A2024" s="143">
        <v>11444</v>
      </c>
      <c r="B2024" t="s">
        <v>6586</v>
      </c>
      <c r="C2024" t="s">
        <v>3444</v>
      </c>
      <c r="D2024" s="45" t="s">
        <v>6759</v>
      </c>
      <c r="E2024">
        <v>88</v>
      </c>
      <c r="F2024" s="765">
        <v>20293.849999999999</v>
      </c>
    </row>
    <row r="2025" spans="1:6">
      <c r="A2025" s="143">
        <v>11444</v>
      </c>
      <c r="B2025" t="s">
        <v>6586</v>
      </c>
      <c r="C2025" t="s">
        <v>3444</v>
      </c>
      <c r="D2025" s="45" t="s">
        <v>6760</v>
      </c>
      <c r="E2025">
        <v>88</v>
      </c>
      <c r="F2025" s="765">
        <v>120923.91</v>
      </c>
    </row>
    <row r="2026" spans="1:6">
      <c r="A2026" s="143">
        <v>11505</v>
      </c>
      <c r="B2026" t="s">
        <v>3475</v>
      </c>
      <c r="C2026" t="s">
        <v>3476</v>
      </c>
      <c r="D2026" s="45" t="s">
        <v>6761</v>
      </c>
      <c r="E2026">
        <v>88</v>
      </c>
      <c r="F2026" s="765">
        <v>14800.93</v>
      </c>
    </row>
    <row r="2027" spans="1:6">
      <c r="A2027" s="143">
        <v>11604</v>
      </c>
      <c r="B2027" t="s">
        <v>3477</v>
      </c>
      <c r="C2027" t="s">
        <v>3478</v>
      </c>
      <c r="D2027" s="45" t="s">
        <v>6762</v>
      </c>
      <c r="E2027">
        <v>88</v>
      </c>
      <c r="F2027" s="765">
        <v>2858.69</v>
      </c>
    </row>
    <row r="2028" spans="1:6">
      <c r="A2028" s="143">
        <v>11621</v>
      </c>
      <c r="B2028" t="s">
        <v>5878</v>
      </c>
      <c r="C2028" t="s">
        <v>5893</v>
      </c>
      <c r="D2028" s="45" t="s">
        <v>6763</v>
      </c>
      <c r="E2028">
        <v>88</v>
      </c>
      <c r="F2028" s="765">
        <v>381.63</v>
      </c>
    </row>
    <row r="2029" spans="1:6">
      <c r="A2029" s="143">
        <v>11736</v>
      </c>
      <c r="B2029" t="s">
        <v>1026</v>
      </c>
      <c r="C2029" t="s">
        <v>3481</v>
      </c>
      <c r="D2029" s="45" t="s">
        <v>6766</v>
      </c>
      <c r="E2029">
        <v>88</v>
      </c>
      <c r="F2029" s="765">
        <v>493.49</v>
      </c>
    </row>
    <row r="2030" spans="1:6">
      <c r="A2030" s="143">
        <v>11737</v>
      </c>
      <c r="B2030" t="s">
        <v>1026</v>
      </c>
      <c r="C2030" t="s">
        <v>3481</v>
      </c>
      <c r="D2030" s="45" t="s">
        <v>6767</v>
      </c>
      <c r="E2030">
        <v>88</v>
      </c>
      <c r="F2030" s="765">
        <v>2298.19</v>
      </c>
    </row>
    <row r="2031" spans="1:6">
      <c r="A2031" s="143">
        <v>11751</v>
      </c>
      <c r="B2031" t="s">
        <v>6768</v>
      </c>
      <c r="C2031" t="s">
        <v>6769</v>
      </c>
      <c r="D2031" s="45" t="s">
        <v>6770</v>
      </c>
      <c r="E2031">
        <v>88</v>
      </c>
      <c r="F2031" s="765">
        <v>994.12</v>
      </c>
    </row>
    <row r="2032" spans="1:6">
      <c r="A2032" s="143">
        <v>11764</v>
      </c>
      <c r="B2032" t="s">
        <v>5327</v>
      </c>
      <c r="C2032" t="s">
        <v>5349</v>
      </c>
      <c r="D2032" s="45" t="s">
        <v>6771</v>
      </c>
      <c r="E2032">
        <v>88</v>
      </c>
      <c r="F2032" s="765">
        <v>4690.1499999999996</v>
      </c>
    </row>
    <row r="2033" spans="1:6">
      <c r="A2033" s="143">
        <v>11816</v>
      </c>
      <c r="B2033" t="s">
        <v>6304</v>
      </c>
      <c r="C2033" t="s">
        <v>6305</v>
      </c>
      <c r="D2033" s="45" t="s">
        <v>6772</v>
      </c>
      <c r="E2033">
        <v>88</v>
      </c>
      <c r="F2033" s="765">
        <v>835.57</v>
      </c>
    </row>
    <row r="2034" spans="1:6">
      <c r="A2034" s="143">
        <v>11816</v>
      </c>
      <c r="B2034" t="s">
        <v>6304</v>
      </c>
      <c r="C2034" t="s">
        <v>6305</v>
      </c>
      <c r="D2034" s="45" t="s">
        <v>6773</v>
      </c>
      <c r="E2034">
        <v>88</v>
      </c>
      <c r="F2034" s="765">
        <v>4878.5600000000004</v>
      </c>
    </row>
    <row r="2035" spans="1:6">
      <c r="A2035" s="143">
        <v>11816</v>
      </c>
      <c r="B2035" t="s">
        <v>6304</v>
      </c>
      <c r="C2035" t="s">
        <v>6305</v>
      </c>
      <c r="D2035" s="45" t="s">
        <v>6774</v>
      </c>
      <c r="E2035">
        <v>88</v>
      </c>
      <c r="F2035" s="765">
        <v>1826.5</v>
      </c>
    </row>
    <row r="2036" spans="1:6">
      <c r="A2036" s="143">
        <v>11830</v>
      </c>
      <c r="B2036" t="s">
        <v>5611</v>
      </c>
      <c r="C2036" t="s">
        <v>5618</v>
      </c>
      <c r="D2036" s="45" t="s">
        <v>6775</v>
      </c>
      <c r="E2036">
        <v>88</v>
      </c>
      <c r="F2036" s="765">
        <v>150.5</v>
      </c>
    </row>
    <row r="2037" spans="1:6">
      <c r="A2037" s="143">
        <v>11888</v>
      </c>
      <c r="B2037" t="s">
        <v>1705</v>
      </c>
      <c r="C2037" t="s">
        <v>5351</v>
      </c>
      <c r="D2037" s="45" t="s">
        <v>6776</v>
      </c>
      <c r="E2037">
        <v>88</v>
      </c>
      <c r="F2037" s="765">
        <v>3237.32</v>
      </c>
    </row>
    <row r="2038" spans="1:6">
      <c r="A2038" s="143">
        <v>11909</v>
      </c>
      <c r="B2038" t="s">
        <v>2125</v>
      </c>
      <c r="C2038" t="s">
        <v>6512</v>
      </c>
      <c r="D2038" s="45" t="s">
        <v>6777</v>
      </c>
      <c r="E2038">
        <v>88</v>
      </c>
      <c r="F2038" s="765">
        <v>10022.67</v>
      </c>
    </row>
    <row r="2039" spans="1:6">
      <c r="A2039" s="143">
        <v>11942</v>
      </c>
      <c r="B2039" t="s">
        <v>6391</v>
      </c>
      <c r="C2039" t="s">
        <v>6401</v>
      </c>
      <c r="D2039" s="45" t="s">
        <v>6778</v>
      </c>
      <c r="E2039">
        <v>88</v>
      </c>
      <c r="F2039" s="765">
        <v>1154.46</v>
      </c>
    </row>
    <row r="2040" spans="1:6">
      <c r="A2040" s="143">
        <v>11949</v>
      </c>
      <c r="B2040" t="s">
        <v>6720</v>
      </c>
      <c r="C2040" t="s">
        <v>6779</v>
      </c>
      <c r="D2040" s="45" t="s">
        <v>6780</v>
      </c>
      <c r="E2040">
        <v>88</v>
      </c>
      <c r="F2040" s="765">
        <v>4846.09</v>
      </c>
    </row>
    <row r="2041" spans="1:6">
      <c r="A2041" s="143">
        <v>11950</v>
      </c>
      <c r="B2041" t="s">
        <v>6514</v>
      </c>
      <c r="C2041" t="s">
        <v>6515</v>
      </c>
      <c r="D2041" s="45" t="s">
        <v>6781</v>
      </c>
      <c r="E2041">
        <v>88</v>
      </c>
      <c r="F2041" s="765">
        <v>15208.4</v>
      </c>
    </row>
    <row r="2042" spans="1:6">
      <c r="A2042" s="143">
        <v>11952</v>
      </c>
      <c r="B2042" t="s">
        <v>3413</v>
      </c>
      <c r="C2042" t="s">
        <v>3445</v>
      </c>
      <c r="D2042" s="45" t="s">
        <v>6782</v>
      </c>
      <c r="E2042">
        <v>88</v>
      </c>
      <c r="F2042" s="765">
        <v>3195.3</v>
      </c>
    </row>
    <row r="2043" spans="1:6">
      <c r="A2043" s="143">
        <v>11981</v>
      </c>
      <c r="B2043" t="s">
        <v>5286</v>
      </c>
      <c r="C2043" t="s">
        <v>5308</v>
      </c>
      <c r="D2043" s="45" t="s">
        <v>6783</v>
      </c>
      <c r="E2043">
        <v>88</v>
      </c>
      <c r="F2043" s="765">
        <v>1193.5</v>
      </c>
    </row>
    <row r="2044" spans="1:6">
      <c r="A2044" s="143">
        <v>12011</v>
      </c>
      <c r="B2044" t="s">
        <v>3293</v>
      </c>
      <c r="C2044" t="s">
        <v>3442</v>
      </c>
      <c r="D2044" s="45" t="s">
        <v>6784</v>
      </c>
      <c r="E2044">
        <v>88</v>
      </c>
      <c r="F2044" s="765">
        <v>533.79999999999995</v>
      </c>
    </row>
    <row r="2045" spans="1:6">
      <c r="A2045" s="143">
        <v>12020</v>
      </c>
      <c r="B2045" t="s">
        <v>6727</v>
      </c>
      <c r="C2045" t="s">
        <v>6785</v>
      </c>
      <c r="D2045" s="45" t="s">
        <v>6786</v>
      </c>
      <c r="E2045">
        <v>88</v>
      </c>
      <c r="F2045" s="765">
        <v>193.04</v>
      </c>
    </row>
    <row r="2046" spans="1:6">
      <c r="A2046" s="143">
        <v>12026</v>
      </c>
      <c r="B2046" t="s">
        <v>4029</v>
      </c>
      <c r="C2046" t="s">
        <v>4031</v>
      </c>
      <c r="D2046" s="45" t="s">
        <v>6787</v>
      </c>
      <c r="E2046">
        <v>88</v>
      </c>
      <c r="F2046" s="765">
        <v>2317.11</v>
      </c>
    </row>
    <row r="2047" spans="1:6">
      <c r="A2047" s="143">
        <v>12055</v>
      </c>
      <c r="B2047" t="s">
        <v>5663</v>
      </c>
      <c r="C2047" t="s">
        <v>6788</v>
      </c>
      <c r="D2047" s="45" t="s">
        <v>6789</v>
      </c>
      <c r="E2047">
        <v>88</v>
      </c>
      <c r="F2047" s="765">
        <v>118.52</v>
      </c>
    </row>
    <row r="2048" spans="1:6">
      <c r="A2048" s="143">
        <v>12057</v>
      </c>
      <c r="B2048" t="s">
        <v>5665</v>
      </c>
      <c r="C2048" t="s">
        <v>5755</v>
      </c>
      <c r="D2048" s="45" t="s">
        <v>6790</v>
      </c>
      <c r="E2048">
        <v>88</v>
      </c>
      <c r="F2048" s="765">
        <v>478.83</v>
      </c>
    </row>
    <row r="2049" spans="1:7">
      <c r="A2049" s="143">
        <v>12060</v>
      </c>
      <c r="B2049" t="s">
        <v>6606</v>
      </c>
      <c r="C2049" t="s">
        <v>6621</v>
      </c>
      <c r="D2049" s="45" t="s">
        <v>6791</v>
      </c>
      <c r="E2049">
        <v>88</v>
      </c>
      <c r="F2049" s="765">
        <v>954.48</v>
      </c>
    </row>
    <row r="2050" spans="1:7">
      <c r="A2050" s="143">
        <v>12089</v>
      </c>
      <c r="B2050" t="s">
        <v>6649</v>
      </c>
      <c r="C2050" t="s">
        <v>6650</v>
      </c>
      <c r="D2050" s="45" t="s">
        <v>6792</v>
      </c>
      <c r="E2050">
        <v>88</v>
      </c>
      <c r="F2050" s="765">
        <v>2921.4</v>
      </c>
    </row>
    <row r="2051" spans="1:7">
      <c r="A2051" s="143">
        <v>12090</v>
      </c>
      <c r="B2051" t="s">
        <v>6538</v>
      </c>
      <c r="C2051" t="s">
        <v>6628</v>
      </c>
      <c r="D2051" s="45" t="s">
        <v>6793</v>
      </c>
      <c r="E2051">
        <v>88</v>
      </c>
      <c r="F2051" s="765">
        <v>976.68</v>
      </c>
    </row>
    <row r="2052" spans="1:7">
      <c r="A2052" s="143">
        <v>31024</v>
      </c>
      <c r="B2052" t="s">
        <v>6586</v>
      </c>
      <c r="C2052" t="s">
        <v>3444</v>
      </c>
      <c r="D2052" s="45" t="s">
        <v>6794</v>
      </c>
      <c r="E2052">
        <v>88</v>
      </c>
      <c r="F2052" s="765">
        <v>1983.29</v>
      </c>
    </row>
    <row r="2053" spans="1:7">
      <c r="A2053" s="143">
        <v>31027</v>
      </c>
      <c r="B2053" t="s">
        <v>1033</v>
      </c>
      <c r="C2053" t="s">
        <v>3478</v>
      </c>
      <c r="D2053" s="45" t="s">
        <v>6795</v>
      </c>
      <c r="E2053">
        <v>88</v>
      </c>
      <c r="F2053" s="765">
        <v>1727.81</v>
      </c>
    </row>
    <row r="2054" spans="1:7">
      <c r="A2054" s="143">
        <v>31027</v>
      </c>
      <c r="B2054" t="s">
        <v>1033</v>
      </c>
      <c r="C2054" t="s">
        <v>3478</v>
      </c>
      <c r="D2054" s="45" t="s">
        <v>6796</v>
      </c>
      <c r="E2054">
        <v>88</v>
      </c>
      <c r="F2054" s="765">
        <v>1508.52</v>
      </c>
    </row>
    <row r="2055" spans="1:7">
      <c r="A2055" s="143">
        <v>31030</v>
      </c>
      <c r="B2055" t="s">
        <v>3424</v>
      </c>
      <c r="C2055" t="s">
        <v>3498</v>
      </c>
      <c r="D2055" s="45" t="s">
        <v>6797</v>
      </c>
      <c r="E2055">
        <v>88</v>
      </c>
      <c r="F2055" s="765">
        <v>6226.93</v>
      </c>
    </row>
    <row r="2056" spans="1:7">
      <c r="A2056" s="143">
        <v>51028</v>
      </c>
      <c r="B2056" t="s">
        <v>5960</v>
      </c>
      <c r="C2056" t="s">
        <v>6290</v>
      </c>
      <c r="D2056" s="45" t="s">
        <v>6798</v>
      </c>
      <c r="E2056">
        <v>88</v>
      </c>
      <c r="F2056" s="765">
        <v>1580.24</v>
      </c>
    </row>
    <row r="2057" spans="1:7">
      <c r="A2057" s="143">
        <v>51029</v>
      </c>
      <c r="B2057" t="s">
        <v>5962</v>
      </c>
      <c r="C2057" t="s">
        <v>6176</v>
      </c>
      <c r="D2057" s="45" t="s">
        <v>6799</v>
      </c>
      <c r="E2057">
        <v>88</v>
      </c>
      <c r="F2057" s="765">
        <v>1580.24</v>
      </c>
    </row>
    <row r="2058" spans="1:7" ht="15">
      <c r="A2058" s="1555"/>
      <c r="B2058" s="1555" t="s">
        <v>7426</v>
      </c>
      <c r="C2058" s="1555"/>
      <c r="D2058" s="1556"/>
      <c r="E2058" s="1555"/>
      <c r="F2058" s="1557"/>
      <c r="G2058" s="1558">
        <f>SUM(F1791:F2057)</f>
        <v>3939493.7300000004</v>
      </c>
    </row>
    <row r="2059" spans="1:7">
      <c r="A2059" s="143">
        <v>11023</v>
      </c>
      <c r="B2059" t="s">
        <v>3371</v>
      </c>
      <c r="C2059" t="s">
        <v>3465</v>
      </c>
      <c r="D2059" s="45" t="s">
        <v>7427</v>
      </c>
      <c r="E2059">
        <v>91</v>
      </c>
      <c r="F2059" s="765">
        <v>17.420000000000002</v>
      </c>
    </row>
    <row r="2060" spans="1:7">
      <c r="A2060" s="143">
        <v>11232</v>
      </c>
      <c r="B2060" t="s">
        <v>3380</v>
      </c>
      <c r="C2060" t="s">
        <v>3506</v>
      </c>
      <c r="D2060" s="45" t="s">
        <v>6800</v>
      </c>
      <c r="E2060">
        <v>91</v>
      </c>
      <c r="F2060" s="765">
        <v>1621.76</v>
      </c>
    </row>
    <row r="2061" spans="1:7">
      <c r="A2061" s="143">
        <v>11320</v>
      </c>
      <c r="B2061" t="s">
        <v>3380</v>
      </c>
      <c r="C2061" t="s">
        <v>3506</v>
      </c>
      <c r="D2061" s="45" t="s">
        <v>6801</v>
      </c>
      <c r="E2061">
        <v>91</v>
      </c>
      <c r="F2061" s="765">
        <v>197662.84</v>
      </c>
    </row>
    <row r="2062" spans="1:7">
      <c r="A2062" s="143">
        <v>11404</v>
      </c>
      <c r="B2062" t="s">
        <v>3387</v>
      </c>
      <c r="C2062" t="s">
        <v>3506</v>
      </c>
      <c r="D2062" s="45" t="s">
        <v>6802</v>
      </c>
      <c r="E2062">
        <v>91</v>
      </c>
      <c r="F2062" s="765">
        <v>797.13</v>
      </c>
    </row>
    <row r="2063" spans="1:7">
      <c r="A2063" s="143">
        <v>11423</v>
      </c>
      <c r="B2063" t="s">
        <v>3389</v>
      </c>
      <c r="C2063" t="s">
        <v>3510</v>
      </c>
      <c r="D2063" s="45" t="s">
        <v>6804</v>
      </c>
      <c r="E2063">
        <v>91</v>
      </c>
      <c r="F2063" s="765">
        <v>25985.07</v>
      </c>
    </row>
    <row r="2064" spans="1:7">
      <c r="A2064" s="143">
        <v>11679</v>
      </c>
      <c r="B2064" t="s">
        <v>6705</v>
      </c>
      <c r="C2064" t="s">
        <v>6807</v>
      </c>
      <c r="D2064" s="45" t="s">
        <v>6808</v>
      </c>
      <c r="E2064">
        <v>91</v>
      </c>
      <c r="F2064" s="765">
        <v>66659.87</v>
      </c>
    </row>
    <row r="2065" spans="1:6">
      <c r="A2065" s="143">
        <v>11802</v>
      </c>
      <c r="B2065" t="s">
        <v>3400</v>
      </c>
      <c r="C2065" t="s">
        <v>3516</v>
      </c>
      <c r="D2065" s="45" t="s">
        <v>6810</v>
      </c>
      <c r="E2065">
        <v>91</v>
      </c>
      <c r="F2065" s="765">
        <v>8580.81</v>
      </c>
    </row>
    <row r="2066" spans="1:6">
      <c r="A2066" s="143">
        <v>11444</v>
      </c>
      <c r="B2066" t="s">
        <v>6586</v>
      </c>
      <c r="C2066" t="s">
        <v>3444</v>
      </c>
      <c r="D2066" s="45" t="s">
        <v>6619</v>
      </c>
      <c r="E2066">
        <v>98</v>
      </c>
      <c r="F2066" s="765">
        <v>17759.05</v>
      </c>
    </row>
    <row r="2067" spans="1:6">
      <c r="A2067" s="143">
        <v>11444</v>
      </c>
      <c r="B2067" t="s">
        <v>6586</v>
      </c>
      <c r="C2067" t="s">
        <v>3444</v>
      </c>
      <c r="D2067" s="45" t="s">
        <v>6620</v>
      </c>
      <c r="E2067">
        <v>98</v>
      </c>
      <c r="F2067" s="765">
        <v>114629.52</v>
      </c>
    </row>
    <row r="2068" spans="1:6">
      <c r="A2068" s="143">
        <v>12060</v>
      </c>
      <c r="B2068" t="s">
        <v>6606</v>
      </c>
      <c r="C2068" t="s">
        <v>6621</v>
      </c>
      <c r="D2068" s="45" t="s">
        <v>6622</v>
      </c>
      <c r="E2068">
        <v>98</v>
      </c>
      <c r="F2068" s="765">
        <v>954.48</v>
      </c>
    </row>
    <row r="2069" spans="1:6">
      <c r="A2069" s="143">
        <v>12068</v>
      </c>
      <c r="B2069" t="s">
        <v>5784</v>
      </c>
      <c r="C2069" t="s">
        <v>5887</v>
      </c>
      <c r="D2069" s="45" t="s">
        <v>6623</v>
      </c>
      <c r="E2069">
        <v>98</v>
      </c>
      <c r="F2069" s="765">
        <v>16531.88</v>
      </c>
    </row>
    <row r="2070" spans="1:6">
      <c r="A2070" s="143">
        <v>31024</v>
      </c>
      <c r="B2070" t="s">
        <v>6586</v>
      </c>
      <c r="C2070" t="s">
        <v>3444</v>
      </c>
      <c r="D2070" s="45" t="s">
        <v>6624</v>
      </c>
      <c r="E2070">
        <v>99</v>
      </c>
      <c r="F2070" s="765">
        <v>2004.69</v>
      </c>
    </row>
    <row r="2071" spans="1:6">
      <c r="A2071" s="143">
        <v>11942</v>
      </c>
      <c r="B2071" t="s">
        <v>6391</v>
      </c>
      <c r="C2071" t="s">
        <v>6401</v>
      </c>
      <c r="D2071" s="45" t="s">
        <v>6625</v>
      </c>
      <c r="E2071">
        <v>101</v>
      </c>
      <c r="F2071" s="765">
        <v>1154.46</v>
      </c>
    </row>
    <row r="2072" spans="1:6">
      <c r="A2072" s="143">
        <v>11952</v>
      </c>
      <c r="B2072" t="s">
        <v>3413</v>
      </c>
      <c r="C2072" t="s">
        <v>3445</v>
      </c>
      <c r="D2072" s="45" t="s">
        <v>6626</v>
      </c>
      <c r="E2072">
        <v>101</v>
      </c>
      <c r="F2072" s="765">
        <v>2566.65</v>
      </c>
    </row>
    <row r="2073" spans="1:6">
      <c r="A2073" s="143">
        <v>11946</v>
      </c>
      <c r="B2073" t="s">
        <v>3412</v>
      </c>
      <c r="C2073" t="s">
        <v>3490</v>
      </c>
      <c r="D2073" s="45" t="s">
        <v>6627</v>
      </c>
      <c r="E2073">
        <v>113</v>
      </c>
      <c r="F2073" s="765">
        <v>82.46</v>
      </c>
    </row>
    <row r="2074" spans="1:6">
      <c r="A2074" s="143">
        <v>12090</v>
      </c>
      <c r="B2074" t="s">
        <v>6538</v>
      </c>
      <c r="C2074" t="s">
        <v>6628</v>
      </c>
      <c r="D2074" s="45" t="s">
        <v>6629</v>
      </c>
      <c r="E2074">
        <v>113</v>
      </c>
      <c r="F2074" s="765">
        <v>296.89999999999998</v>
      </c>
    </row>
    <row r="2075" spans="1:6">
      <c r="A2075" s="143">
        <v>11023</v>
      </c>
      <c r="B2075" t="s">
        <v>3371</v>
      </c>
      <c r="C2075" t="s">
        <v>3465</v>
      </c>
      <c r="D2075" s="45" t="s">
        <v>6630</v>
      </c>
      <c r="E2075">
        <v>116</v>
      </c>
      <c r="F2075" s="765">
        <v>17.420000000000002</v>
      </c>
    </row>
    <row r="2076" spans="1:6">
      <c r="A2076" s="143">
        <v>11053</v>
      </c>
      <c r="B2076" t="s">
        <v>3372</v>
      </c>
      <c r="C2076" t="s">
        <v>3466</v>
      </c>
      <c r="D2076" s="45" t="s">
        <v>6631</v>
      </c>
      <c r="E2076">
        <v>116</v>
      </c>
      <c r="F2076" s="765">
        <v>857.68</v>
      </c>
    </row>
    <row r="2077" spans="1:6">
      <c r="A2077" s="143">
        <v>11200</v>
      </c>
      <c r="B2077" t="s">
        <v>6582</v>
      </c>
      <c r="C2077" t="s">
        <v>6632</v>
      </c>
      <c r="D2077" s="45" t="s">
        <v>6633</v>
      </c>
      <c r="E2077">
        <v>116</v>
      </c>
      <c r="F2077" s="765">
        <v>9682.7199999999993</v>
      </c>
    </row>
    <row r="2078" spans="1:6">
      <c r="A2078" s="143">
        <v>11413</v>
      </c>
      <c r="B2078" t="s">
        <v>3388</v>
      </c>
      <c r="C2078" t="s">
        <v>3471</v>
      </c>
      <c r="D2078" s="45" t="s">
        <v>6634</v>
      </c>
      <c r="E2078">
        <v>116</v>
      </c>
      <c r="F2078" s="765">
        <v>12344.59</v>
      </c>
    </row>
    <row r="2079" spans="1:6">
      <c r="A2079" s="143">
        <v>11413</v>
      </c>
      <c r="B2079" t="s">
        <v>3388</v>
      </c>
      <c r="C2079" t="s">
        <v>3471</v>
      </c>
      <c r="D2079" s="45" t="s">
        <v>6635</v>
      </c>
      <c r="E2079">
        <v>116</v>
      </c>
      <c r="F2079" s="765">
        <v>6900.94</v>
      </c>
    </row>
    <row r="2080" spans="1:6">
      <c r="A2080" s="143">
        <v>11505</v>
      </c>
      <c r="B2080" t="s">
        <v>3475</v>
      </c>
      <c r="C2080" t="s">
        <v>3476</v>
      </c>
      <c r="D2080" s="45" t="s">
        <v>6636</v>
      </c>
      <c r="E2080">
        <v>116</v>
      </c>
      <c r="F2080" s="765">
        <v>13460.79</v>
      </c>
    </row>
    <row r="2081" spans="1:6">
      <c r="A2081" s="143">
        <v>11604</v>
      </c>
      <c r="B2081" t="s">
        <v>3477</v>
      </c>
      <c r="C2081" t="s">
        <v>3478</v>
      </c>
      <c r="D2081" s="45" t="s">
        <v>6637</v>
      </c>
      <c r="E2081">
        <v>116</v>
      </c>
      <c r="F2081" s="765">
        <v>2858.69</v>
      </c>
    </row>
    <row r="2082" spans="1:6">
      <c r="A2082" s="143">
        <v>11764</v>
      </c>
      <c r="B2082" t="s">
        <v>5327</v>
      </c>
      <c r="C2082" t="s">
        <v>5349</v>
      </c>
      <c r="D2082" s="45" t="s">
        <v>6638</v>
      </c>
      <c r="E2082">
        <v>116</v>
      </c>
      <c r="F2082" s="765">
        <v>4296.55</v>
      </c>
    </row>
    <row r="2083" spans="1:6">
      <c r="A2083" s="143">
        <v>11770</v>
      </c>
      <c r="B2083" t="s">
        <v>5281</v>
      </c>
      <c r="C2083" t="s">
        <v>5306</v>
      </c>
      <c r="D2083" s="45" t="s">
        <v>7008</v>
      </c>
      <c r="E2083">
        <v>116</v>
      </c>
      <c r="F2083" s="765">
        <v>320.27999999999997</v>
      </c>
    </row>
    <row r="2084" spans="1:6">
      <c r="A2084" s="143">
        <v>11811</v>
      </c>
      <c r="B2084" t="s">
        <v>3403</v>
      </c>
      <c r="C2084" t="s">
        <v>3929</v>
      </c>
      <c r="D2084" s="45" t="s">
        <v>6639</v>
      </c>
      <c r="E2084">
        <v>116</v>
      </c>
      <c r="F2084" s="765">
        <v>5782.17</v>
      </c>
    </row>
    <row r="2085" spans="1:6">
      <c r="A2085" s="143">
        <v>11816</v>
      </c>
      <c r="B2085" t="s">
        <v>6304</v>
      </c>
      <c r="C2085" t="s">
        <v>6305</v>
      </c>
      <c r="D2085" s="45" t="s">
        <v>6640</v>
      </c>
      <c r="E2085">
        <v>116</v>
      </c>
      <c r="F2085" s="765">
        <v>795.93</v>
      </c>
    </row>
    <row r="2086" spans="1:6">
      <c r="A2086" s="143">
        <v>11816</v>
      </c>
      <c r="B2086" t="s">
        <v>6304</v>
      </c>
      <c r="C2086" t="s">
        <v>6305</v>
      </c>
      <c r="D2086" s="45" t="s">
        <v>6641</v>
      </c>
      <c r="E2086">
        <v>116</v>
      </c>
      <c r="F2086" s="765">
        <v>5829.85</v>
      </c>
    </row>
    <row r="2087" spans="1:6">
      <c r="A2087" s="143">
        <v>11816</v>
      </c>
      <c r="B2087" t="s">
        <v>6304</v>
      </c>
      <c r="C2087" t="s">
        <v>6305</v>
      </c>
      <c r="D2087" s="45" t="s">
        <v>6642</v>
      </c>
      <c r="E2087">
        <v>116</v>
      </c>
      <c r="F2087" s="765">
        <v>2619.2399999999998</v>
      </c>
    </row>
    <row r="2088" spans="1:6">
      <c r="A2088" s="143">
        <v>11981</v>
      </c>
      <c r="B2088" t="s">
        <v>5286</v>
      </c>
      <c r="C2088" t="s">
        <v>5308</v>
      </c>
      <c r="D2088" s="45" t="s">
        <v>6643</v>
      </c>
      <c r="E2088">
        <v>116</v>
      </c>
      <c r="F2088" s="765">
        <v>1074.5899999999999</v>
      </c>
    </row>
    <row r="2089" spans="1:6">
      <c r="A2089" s="143">
        <v>12002</v>
      </c>
      <c r="B2089" t="s">
        <v>3460</v>
      </c>
      <c r="C2089" t="s">
        <v>3461</v>
      </c>
      <c r="D2089" s="45" t="s">
        <v>6644</v>
      </c>
      <c r="E2089">
        <v>116</v>
      </c>
      <c r="F2089" s="765">
        <v>4600.63</v>
      </c>
    </row>
    <row r="2090" spans="1:6">
      <c r="A2090" s="143">
        <v>12011</v>
      </c>
      <c r="B2090" t="s">
        <v>3293</v>
      </c>
      <c r="C2090" t="s">
        <v>3442</v>
      </c>
      <c r="D2090" s="45" t="s">
        <v>6645</v>
      </c>
      <c r="E2090">
        <v>116</v>
      </c>
      <c r="F2090" s="765">
        <v>137.43</v>
      </c>
    </row>
    <row r="2091" spans="1:6">
      <c r="A2091" s="143">
        <v>12057</v>
      </c>
      <c r="B2091" t="s">
        <v>5665</v>
      </c>
      <c r="C2091" t="s">
        <v>5755</v>
      </c>
      <c r="D2091" s="45" t="s">
        <v>6647</v>
      </c>
      <c r="E2091">
        <v>116</v>
      </c>
      <c r="F2091" s="765">
        <v>478.83</v>
      </c>
    </row>
    <row r="2092" spans="1:6">
      <c r="A2092" s="143">
        <v>12062</v>
      </c>
      <c r="B2092" t="s">
        <v>6286</v>
      </c>
      <c r="C2092" t="s">
        <v>6295</v>
      </c>
      <c r="D2092" s="45" t="s">
        <v>6648</v>
      </c>
      <c r="E2092">
        <v>116</v>
      </c>
      <c r="F2092" s="765">
        <v>1704.48</v>
      </c>
    </row>
    <row r="2093" spans="1:6">
      <c r="A2093" s="143">
        <v>31027</v>
      </c>
      <c r="B2093" t="s">
        <v>1033</v>
      </c>
      <c r="C2093" t="s">
        <v>3478</v>
      </c>
      <c r="D2093" s="45" t="s">
        <v>6651</v>
      </c>
      <c r="E2093">
        <v>116</v>
      </c>
      <c r="F2093" s="765">
        <v>1727.81</v>
      </c>
    </row>
    <row r="2094" spans="1:6">
      <c r="A2094" s="143">
        <v>51028</v>
      </c>
      <c r="B2094" t="s">
        <v>5960</v>
      </c>
      <c r="C2094" t="s">
        <v>6290</v>
      </c>
      <c r="D2094" s="45" t="s">
        <v>6652</v>
      </c>
      <c r="E2094">
        <v>116</v>
      </c>
      <c r="F2094" s="765">
        <v>1591.65</v>
      </c>
    </row>
    <row r="2095" spans="1:6">
      <c r="A2095" s="143">
        <v>51029</v>
      </c>
      <c r="B2095" t="s">
        <v>5962</v>
      </c>
      <c r="C2095" t="s">
        <v>6176</v>
      </c>
      <c r="D2095" s="45" t="s">
        <v>6653</v>
      </c>
      <c r="E2095">
        <v>116</v>
      </c>
      <c r="F2095" s="765">
        <v>1591.65</v>
      </c>
    </row>
    <row r="2096" spans="1:6">
      <c r="A2096" s="143">
        <v>11699</v>
      </c>
      <c r="B2096" t="s">
        <v>3396</v>
      </c>
      <c r="C2096" t="s">
        <v>3480</v>
      </c>
      <c r="D2096" s="45" t="s">
        <v>6654</v>
      </c>
      <c r="E2096">
        <v>119</v>
      </c>
      <c r="F2096" s="765">
        <v>400.21</v>
      </c>
    </row>
    <row r="2097" spans="1:6">
      <c r="A2097" s="143">
        <v>11998</v>
      </c>
      <c r="B2097" t="s">
        <v>3352</v>
      </c>
      <c r="C2097" t="s">
        <v>6655</v>
      </c>
      <c r="D2097" s="45" t="s">
        <v>6656</v>
      </c>
      <c r="E2097">
        <v>119</v>
      </c>
      <c r="F2097" s="765">
        <v>907.22</v>
      </c>
    </row>
    <row r="2098" spans="1:6">
      <c r="A2098" s="143">
        <v>11432</v>
      </c>
      <c r="B2098" t="s">
        <v>5264</v>
      </c>
      <c r="C2098" t="s">
        <v>5265</v>
      </c>
      <c r="D2098" s="45" t="s">
        <v>6657</v>
      </c>
      <c r="E2098">
        <v>121</v>
      </c>
      <c r="F2098" s="765">
        <v>4645.3599999999997</v>
      </c>
    </row>
    <row r="2099" spans="1:6">
      <c r="A2099" s="143">
        <v>31027</v>
      </c>
      <c r="B2099" t="s">
        <v>1033</v>
      </c>
      <c r="C2099" t="s">
        <v>3478</v>
      </c>
      <c r="D2099" s="45" t="s">
        <v>6498</v>
      </c>
      <c r="E2099">
        <v>135</v>
      </c>
      <c r="F2099" s="765">
        <v>19879.47</v>
      </c>
    </row>
    <row r="2100" spans="1:6">
      <c r="A2100" s="143">
        <v>11444</v>
      </c>
      <c r="B2100" t="s">
        <v>6586</v>
      </c>
      <c r="C2100" t="s">
        <v>3444</v>
      </c>
      <c r="D2100" s="45" t="s">
        <v>6499</v>
      </c>
      <c r="E2100">
        <v>142</v>
      </c>
      <c r="F2100" s="765">
        <v>20850.36</v>
      </c>
    </row>
    <row r="2101" spans="1:6">
      <c r="A2101" s="143">
        <v>11444</v>
      </c>
      <c r="B2101" t="s">
        <v>6586</v>
      </c>
      <c r="C2101" t="s">
        <v>3444</v>
      </c>
      <c r="D2101" s="45" t="s">
        <v>6500</v>
      </c>
      <c r="E2101">
        <v>143</v>
      </c>
      <c r="F2101" s="765">
        <v>111837.47</v>
      </c>
    </row>
    <row r="2102" spans="1:6">
      <c r="A2102" s="143">
        <v>11720</v>
      </c>
      <c r="B2102" t="s">
        <v>6397</v>
      </c>
      <c r="C2102" t="s">
        <v>6405</v>
      </c>
      <c r="D2102" s="45" t="s">
        <v>6501</v>
      </c>
      <c r="E2102">
        <v>149</v>
      </c>
      <c r="F2102" s="765">
        <v>6900.94</v>
      </c>
    </row>
    <row r="2103" spans="1:6">
      <c r="A2103" s="143">
        <v>11946</v>
      </c>
      <c r="B2103" t="s">
        <v>3412</v>
      </c>
      <c r="C2103" t="s">
        <v>3490</v>
      </c>
      <c r="D2103" s="45" t="s">
        <v>6502</v>
      </c>
      <c r="E2103">
        <v>149</v>
      </c>
      <c r="F2103" s="765">
        <v>82.46</v>
      </c>
    </row>
    <row r="2104" spans="1:6">
      <c r="A2104" s="143">
        <v>12057</v>
      </c>
      <c r="B2104" t="s">
        <v>5665</v>
      </c>
      <c r="C2104" t="s">
        <v>5755</v>
      </c>
      <c r="D2104" s="45" t="s">
        <v>6503</v>
      </c>
      <c r="E2104">
        <v>149</v>
      </c>
      <c r="F2104" s="765">
        <v>241.01</v>
      </c>
    </row>
    <row r="2105" spans="1:6">
      <c r="A2105" s="143">
        <v>11764</v>
      </c>
      <c r="B2105" t="s">
        <v>5327</v>
      </c>
      <c r="C2105" t="s">
        <v>5349</v>
      </c>
      <c r="D2105" s="45" t="s">
        <v>6507</v>
      </c>
      <c r="E2105">
        <v>150</v>
      </c>
      <c r="F2105" s="765">
        <v>4225.99</v>
      </c>
    </row>
    <row r="2106" spans="1:6">
      <c r="A2106" s="143">
        <v>11811</v>
      </c>
      <c r="B2106" t="s">
        <v>3403</v>
      </c>
      <c r="C2106" t="s">
        <v>3929</v>
      </c>
      <c r="D2106" s="45" t="s">
        <v>6508</v>
      </c>
      <c r="E2106">
        <v>150</v>
      </c>
      <c r="F2106" s="765">
        <v>5762.76</v>
      </c>
    </row>
    <row r="2107" spans="1:6">
      <c r="A2107" s="143">
        <v>11816</v>
      </c>
      <c r="B2107" t="s">
        <v>6304</v>
      </c>
      <c r="C2107" t="s">
        <v>6305</v>
      </c>
      <c r="D2107" s="45" t="s">
        <v>6509</v>
      </c>
      <c r="E2107">
        <v>150</v>
      </c>
      <c r="F2107" s="765">
        <v>914.84</v>
      </c>
    </row>
    <row r="2108" spans="1:6">
      <c r="A2108" s="143">
        <v>11816</v>
      </c>
      <c r="B2108" t="s">
        <v>6304</v>
      </c>
      <c r="C2108" t="s">
        <v>6305</v>
      </c>
      <c r="D2108" s="45" t="s">
        <v>6510</v>
      </c>
      <c r="E2108">
        <v>150</v>
      </c>
      <c r="F2108" s="765">
        <v>6741.51</v>
      </c>
    </row>
    <row r="2109" spans="1:6">
      <c r="A2109" s="143">
        <v>11816</v>
      </c>
      <c r="B2109" t="s">
        <v>6304</v>
      </c>
      <c r="C2109" t="s">
        <v>6305</v>
      </c>
      <c r="D2109" s="45" t="s">
        <v>6511</v>
      </c>
      <c r="E2109">
        <v>150</v>
      </c>
      <c r="F2109" s="765">
        <v>439.19</v>
      </c>
    </row>
    <row r="2110" spans="1:6">
      <c r="A2110" s="143">
        <v>11942</v>
      </c>
      <c r="B2110" t="s">
        <v>6391</v>
      </c>
      <c r="C2110" t="s">
        <v>6401</v>
      </c>
      <c r="D2110" s="45" t="s">
        <v>6513</v>
      </c>
      <c r="E2110">
        <v>150</v>
      </c>
      <c r="F2110" s="765">
        <v>1154.46</v>
      </c>
    </row>
    <row r="2111" spans="1:6">
      <c r="A2111" s="143">
        <v>11950</v>
      </c>
      <c r="B2111" t="s">
        <v>6514</v>
      </c>
      <c r="C2111" t="s">
        <v>6515</v>
      </c>
      <c r="D2111" s="45" t="s">
        <v>6516</v>
      </c>
      <c r="E2111">
        <v>150</v>
      </c>
      <c r="F2111" s="765">
        <v>16789.13</v>
      </c>
    </row>
    <row r="2112" spans="1:6">
      <c r="A2112" s="143">
        <v>12002</v>
      </c>
      <c r="B2112" t="s">
        <v>3460</v>
      </c>
      <c r="C2112" t="s">
        <v>3461</v>
      </c>
      <c r="D2112" s="45" t="s">
        <v>6517</v>
      </c>
      <c r="E2112">
        <v>150</v>
      </c>
      <c r="F2112" s="765">
        <v>4600.63</v>
      </c>
    </row>
    <row r="2113" spans="1:7">
      <c r="A2113" s="143">
        <v>51029</v>
      </c>
      <c r="B2113" t="s">
        <v>5962</v>
      </c>
      <c r="C2113" t="s">
        <v>6176</v>
      </c>
      <c r="D2113" s="45" t="s">
        <v>6518</v>
      </c>
      <c r="E2113">
        <v>150</v>
      </c>
      <c r="F2113" s="765">
        <v>1580.24</v>
      </c>
    </row>
    <row r="2114" spans="1:7">
      <c r="A2114" s="143">
        <v>11023</v>
      </c>
      <c r="B2114" t="s">
        <v>3371</v>
      </c>
      <c r="C2114" t="s">
        <v>3465</v>
      </c>
      <c r="D2114" s="45" t="s">
        <v>6519</v>
      </c>
      <c r="E2114">
        <v>151</v>
      </c>
      <c r="F2114" s="765">
        <v>17.43</v>
      </c>
    </row>
    <row r="2115" spans="1:7">
      <c r="A2115" s="143">
        <v>11390</v>
      </c>
      <c r="B2115" t="s">
        <v>1224</v>
      </c>
      <c r="C2115" t="s">
        <v>3509</v>
      </c>
      <c r="D2115" s="45" t="s">
        <v>6520</v>
      </c>
      <c r="E2115">
        <v>151</v>
      </c>
      <c r="F2115" s="765">
        <v>1150.42</v>
      </c>
    </row>
    <row r="2116" spans="1:7">
      <c r="A2116" s="143">
        <v>11942</v>
      </c>
      <c r="B2116" t="s">
        <v>6391</v>
      </c>
      <c r="C2116" t="s">
        <v>6401</v>
      </c>
      <c r="D2116" s="45" t="s">
        <v>6402</v>
      </c>
      <c r="E2116">
        <v>172</v>
      </c>
      <c r="F2116" s="765">
        <v>1182.21</v>
      </c>
    </row>
    <row r="2117" spans="1:7" ht="15">
      <c r="A2117" s="1555"/>
      <c r="B2117" s="1555" t="s">
        <v>7428</v>
      </c>
      <c r="C2117" s="1555"/>
      <c r="D2117" s="1556"/>
      <c r="E2117" s="1555"/>
      <c r="F2117" s="1557"/>
      <c r="G2117" s="1558">
        <f>SUM(F2059:F2116)</f>
        <v>746282.21999999974</v>
      </c>
    </row>
    <row r="2118" spans="1:7">
      <c r="A2118" s="143">
        <v>11444</v>
      </c>
      <c r="B2118" t="s">
        <v>6586</v>
      </c>
      <c r="C2118" t="s">
        <v>3444</v>
      </c>
      <c r="D2118" s="45" t="s">
        <v>6403</v>
      </c>
      <c r="E2118">
        <v>182</v>
      </c>
      <c r="F2118" s="765">
        <v>22878.99</v>
      </c>
    </row>
    <row r="2119" spans="1:7">
      <c r="A2119" s="143">
        <v>11444</v>
      </c>
      <c r="B2119" t="s">
        <v>6586</v>
      </c>
      <c r="C2119" t="s">
        <v>3444</v>
      </c>
      <c r="D2119" s="45" t="s">
        <v>6404</v>
      </c>
      <c r="E2119">
        <v>182</v>
      </c>
      <c r="F2119" s="765">
        <v>120732.86</v>
      </c>
    </row>
    <row r="2120" spans="1:7">
      <c r="A2120" s="143">
        <v>11749</v>
      </c>
      <c r="B2120" t="s">
        <v>3573</v>
      </c>
      <c r="C2120" t="s">
        <v>3574</v>
      </c>
      <c r="D2120" s="45" t="s">
        <v>6406</v>
      </c>
      <c r="E2120">
        <v>182</v>
      </c>
      <c r="F2120" s="765">
        <v>1869.13</v>
      </c>
    </row>
    <row r="2121" spans="1:7">
      <c r="A2121" s="143">
        <v>11811</v>
      </c>
      <c r="B2121" t="s">
        <v>3403</v>
      </c>
      <c r="C2121" t="s">
        <v>3929</v>
      </c>
      <c r="D2121" s="45" t="s">
        <v>6407</v>
      </c>
      <c r="E2121">
        <v>182</v>
      </c>
      <c r="F2121" s="765">
        <v>6571.75</v>
      </c>
    </row>
    <row r="2122" spans="1:7">
      <c r="A2122" s="143">
        <v>12002</v>
      </c>
      <c r="B2122" t="s">
        <v>3460</v>
      </c>
      <c r="C2122" t="s">
        <v>3461</v>
      </c>
      <c r="D2122" s="45" t="s">
        <v>6408</v>
      </c>
      <c r="E2122">
        <v>182</v>
      </c>
      <c r="F2122" s="765">
        <v>4600.63</v>
      </c>
    </row>
    <row r="2123" spans="1:7">
      <c r="A2123" s="143">
        <v>12011</v>
      </c>
      <c r="B2123" t="s">
        <v>3293</v>
      </c>
      <c r="C2123" t="s">
        <v>3442</v>
      </c>
      <c r="D2123" s="45" t="s">
        <v>6409</v>
      </c>
      <c r="E2123">
        <v>182</v>
      </c>
      <c r="F2123" s="765">
        <v>533.79999999999995</v>
      </c>
    </row>
    <row r="2124" spans="1:7">
      <c r="A2124" s="143">
        <v>12057</v>
      </c>
      <c r="B2124" t="s">
        <v>5665</v>
      </c>
      <c r="C2124" t="s">
        <v>5755</v>
      </c>
      <c r="D2124" s="45" t="s">
        <v>6410</v>
      </c>
      <c r="E2124">
        <v>182</v>
      </c>
      <c r="F2124" s="765">
        <v>122.1</v>
      </c>
    </row>
    <row r="2125" spans="1:7">
      <c r="A2125" s="143">
        <v>12081</v>
      </c>
      <c r="B2125" t="s">
        <v>6395</v>
      </c>
      <c r="C2125" t="s">
        <v>6411</v>
      </c>
      <c r="D2125" s="45" t="s">
        <v>6412</v>
      </c>
      <c r="E2125">
        <v>182</v>
      </c>
      <c r="F2125" s="765">
        <v>82.46</v>
      </c>
    </row>
    <row r="2126" spans="1:7">
      <c r="A2126" s="143">
        <v>31027</v>
      </c>
      <c r="B2126" t="s">
        <v>1033</v>
      </c>
      <c r="C2126" t="s">
        <v>3478</v>
      </c>
      <c r="D2126" s="45" t="s">
        <v>6413</v>
      </c>
      <c r="E2126">
        <v>182</v>
      </c>
      <c r="F2126" s="765">
        <v>1727.81</v>
      </c>
    </row>
    <row r="2127" spans="1:7">
      <c r="A2127" s="143">
        <v>51029</v>
      </c>
      <c r="B2127" t="s">
        <v>5962</v>
      </c>
      <c r="C2127" t="s">
        <v>6176</v>
      </c>
      <c r="D2127" s="45" t="s">
        <v>6414</v>
      </c>
      <c r="E2127">
        <v>182</v>
      </c>
      <c r="F2127" s="765">
        <v>1591.65</v>
      </c>
    </row>
    <row r="2128" spans="1:7">
      <c r="A2128" s="143">
        <v>11023</v>
      </c>
      <c r="B2128" t="s">
        <v>3371</v>
      </c>
      <c r="C2128" t="s">
        <v>3465</v>
      </c>
      <c r="D2128" s="45" t="s">
        <v>6415</v>
      </c>
      <c r="E2128">
        <v>183</v>
      </c>
      <c r="F2128" s="765">
        <v>17.420000000000002</v>
      </c>
    </row>
    <row r="2129" spans="1:6">
      <c r="A2129" s="143">
        <v>11439</v>
      </c>
      <c r="B2129" t="s">
        <v>1022</v>
      </c>
      <c r="C2129" t="s">
        <v>3472</v>
      </c>
      <c r="D2129" s="45" t="s">
        <v>6416</v>
      </c>
      <c r="E2129">
        <v>183</v>
      </c>
      <c r="F2129" s="765">
        <v>1594.26</v>
      </c>
    </row>
    <row r="2130" spans="1:6">
      <c r="A2130" s="143">
        <v>11604</v>
      </c>
      <c r="B2130" t="s">
        <v>3477</v>
      </c>
      <c r="C2130" t="s">
        <v>3478</v>
      </c>
      <c r="D2130" s="45" t="s">
        <v>6417</v>
      </c>
      <c r="E2130">
        <v>183</v>
      </c>
      <c r="F2130" s="765">
        <v>11.1</v>
      </c>
    </row>
    <row r="2131" spans="1:6">
      <c r="A2131" s="143">
        <v>11604</v>
      </c>
      <c r="B2131" t="s">
        <v>3477</v>
      </c>
      <c r="C2131" t="s">
        <v>3478</v>
      </c>
      <c r="D2131" s="45" t="s">
        <v>6418</v>
      </c>
      <c r="E2131">
        <v>183</v>
      </c>
      <c r="F2131" s="765">
        <v>998.59</v>
      </c>
    </row>
    <row r="2132" spans="1:6">
      <c r="A2132" s="143">
        <v>11604</v>
      </c>
      <c r="B2132" t="s">
        <v>3477</v>
      </c>
      <c r="C2132" t="s">
        <v>3478</v>
      </c>
      <c r="D2132" s="45" t="s">
        <v>6419</v>
      </c>
      <c r="E2132">
        <v>183</v>
      </c>
      <c r="F2132" s="765">
        <v>1860.1</v>
      </c>
    </row>
    <row r="2133" spans="1:6">
      <c r="A2133" s="143">
        <v>51029</v>
      </c>
      <c r="B2133" t="s">
        <v>5962</v>
      </c>
      <c r="C2133" t="s">
        <v>6176</v>
      </c>
      <c r="D2133" s="45" t="s">
        <v>6291</v>
      </c>
      <c r="E2133">
        <v>207</v>
      </c>
      <c r="F2133" s="765">
        <v>1580.24</v>
      </c>
    </row>
    <row r="2134" spans="1:6">
      <c r="A2134" s="143">
        <v>11749</v>
      </c>
      <c r="B2134" t="s">
        <v>3573</v>
      </c>
      <c r="C2134" t="s">
        <v>3574</v>
      </c>
      <c r="D2134" s="45" t="s">
        <v>6292</v>
      </c>
      <c r="E2134">
        <v>211</v>
      </c>
      <c r="F2134" s="765">
        <v>1869.13</v>
      </c>
    </row>
    <row r="2135" spans="1:6">
      <c r="A2135" s="143">
        <v>11946</v>
      </c>
      <c r="B2135" t="s">
        <v>3412</v>
      </c>
      <c r="C2135" t="s">
        <v>3490</v>
      </c>
      <c r="D2135" s="45" t="s">
        <v>6293</v>
      </c>
      <c r="E2135">
        <v>211</v>
      </c>
      <c r="F2135" s="765">
        <v>795.93</v>
      </c>
    </row>
    <row r="2136" spans="1:6">
      <c r="A2136" s="143">
        <v>12057</v>
      </c>
      <c r="B2136" t="s">
        <v>5665</v>
      </c>
      <c r="C2136" t="s">
        <v>5755</v>
      </c>
      <c r="D2136" s="45" t="s">
        <v>6294</v>
      </c>
      <c r="E2136">
        <v>211</v>
      </c>
      <c r="F2136" s="765">
        <v>122.1</v>
      </c>
    </row>
    <row r="2137" spans="1:6">
      <c r="A2137" s="143">
        <v>11604</v>
      </c>
      <c r="B2137" t="s">
        <v>3477</v>
      </c>
      <c r="C2137" t="s">
        <v>3478</v>
      </c>
      <c r="D2137" s="45" t="s">
        <v>6296</v>
      </c>
      <c r="E2137">
        <v>212</v>
      </c>
      <c r="F2137" s="765">
        <v>2858.69</v>
      </c>
    </row>
    <row r="2138" spans="1:6">
      <c r="A2138" s="143">
        <v>12058</v>
      </c>
      <c r="B2138" t="s">
        <v>5594</v>
      </c>
      <c r="C2138" t="s">
        <v>6237</v>
      </c>
      <c r="D2138" s="45" t="s">
        <v>6299</v>
      </c>
      <c r="E2138">
        <v>212</v>
      </c>
      <c r="F2138" s="765">
        <v>415.73</v>
      </c>
    </row>
    <row r="2139" spans="1:6">
      <c r="A2139" s="143">
        <v>11023</v>
      </c>
      <c r="B2139" t="s">
        <v>3371</v>
      </c>
      <c r="C2139" t="s">
        <v>3465</v>
      </c>
      <c r="D2139" s="45" t="s">
        <v>6300</v>
      </c>
      <c r="E2139">
        <v>213</v>
      </c>
      <c r="F2139" s="765">
        <v>17.440000000000001</v>
      </c>
    </row>
    <row r="2140" spans="1:6">
      <c r="A2140" s="143">
        <v>11439</v>
      </c>
      <c r="B2140" t="s">
        <v>1022</v>
      </c>
      <c r="C2140" t="s">
        <v>3472</v>
      </c>
      <c r="D2140" s="45" t="s">
        <v>6302</v>
      </c>
      <c r="E2140">
        <v>213</v>
      </c>
      <c r="F2140" s="765">
        <v>1594.26</v>
      </c>
    </row>
    <row r="2141" spans="1:6">
      <c r="A2141" s="143">
        <v>11811</v>
      </c>
      <c r="B2141" t="s">
        <v>3403</v>
      </c>
      <c r="C2141" t="s">
        <v>3929</v>
      </c>
      <c r="D2141" s="45" t="s">
        <v>6303</v>
      </c>
      <c r="E2141">
        <v>213</v>
      </c>
      <c r="F2141" s="765">
        <v>5295.43</v>
      </c>
    </row>
    <row r="2142" spans="1:6">
      <c r="A2142" s="143">
        <v>12002</v>
      </c>
      <c r="B2142" t="s">
        <v>3460</v>
      </c>
      <c r="C2142" t="s">
        <v>3461</v>
      </c>
      <c r="D2142" s="45" t="s">
        <v>6306</v>
      </c>
      <c r="E2142">
        <v>213</v>
      </c>
      <c r="F2142" s="765">
        <v>4600.63</v>
      </c>
    </row>
    <row r="2143" spans="1:6">
      <c r="A2143" s="143">
        <v>11749</v>
      </c>
      <c r="B2143" t="s">
        <v>3573</v>
      </c>
      <c r="C2143" t="s">
        <v>3574</v>
      </c>
      <c r="D2143" s="45" t="s">
        <v>6229</v>
      </c>
      <c r="E2143">
        <v>227</v>
      </c>
      <c r="F2143" s="765">
        <v>1908.77</v>
      </c>
    </row>
    <row r="2144" spans="1:6">
      <c r="A2144" s="143">
        <v>11444</v>
      </c>
      <c r="B2144" t="s">
        <v>6586</v>
      </c>
      <c r="C2144" t="s">
        <v>3444</v>
      </c>
      <c r="D2144" s="45" t="s">
        <v>6231</v>
      </c>
      <c r="E2144">
        <v>232</v>
      </c>
      <c r="F2144" s="765">
        <v>97821.1</v>
      </c>
    </row>
    <row r="2145" spans="1:6">
      <c r="A2145" s="143">
        <v>11444</v>
      </c>
      <c r="B2145" t="s">
        <v>6586</v>
      </c>
      <c r="C2145" t="s">
        <v>3444</v>
      </c>
      <c r="D2145" s="45" t="s">
        <v>6232</v>
      </c>
      <c r="E2145">
        <v>232</v>
      </c>
      <c r="F2145" s="765">
        <v>311.88</v>
      </c>
    </row>
    <row r="2146" spans="1:6">
      <c r="A2146" s="143">
        <v>11444</v>
      </c>
      <c r="B2146" t="s">
        <v>6586</v>
      </c>
      <c r="C2146" t="s">
        <v>3444</v>
      </c>
      <c r="D2146" s="45" t="s">
        <v>6230</v>
      </c>
      <c r="E2146">
        <v>232</v>
      </c>
      <c r="F2146" s="765">
        <v>6783.26</v>
      </c>
    </row>
    <row r="2147" spans="1:6">
      <c r="A2147" s="143">
        <v>31024</v>
      </c>
      <c r="B2147" t="s">
        <v>6586</v>
      </c>
      <c r="C2147" t="s">
        <v>3444</v>
      </c>
      <c r="D2147" s="45" t="s">
        <v>6233</v>
      </c>
      <c r="E2147">
        <v>234</v>
      </c>
      <c r="F2147" s="765">
        <v>2049.52</v>
      </c>
    </row>
    <row r="2148" spans="1:6">
      <c r="A2148" s="143">
        <v>11444</v>
      </c>
      <c r="B2148" t="s">
        <v>6586</v>
      </c>
      <c r="C2148" t="s">
        <v>3444</v>
      </c>
      <c r="D2148" s="45" t="s">
        <v>6234</v>
      </c>
      <c r="E2148">
        <v>239</v>
      </c>
      <c r="F2148" s="765">
        <v>87083.72</v>
      </c>
    </row>
    <row r="2149" spans="1:6">
      <c r="A2149" s="143">
        <v>11604</v>
      </c>
      <c r="B2149" t="s">
        <v>3477</v>
      </c>
      <c r="C2149" t="s">
        <v>3478</v>
      </c>
      <c r="D2149" s="45" t="s">
        <v>6235</v>
      </c>
      <c r="E2149">
        <v>241</v>
      </c>
      <c r="F2149" s="765">
        <v>1860.1</v>
      </c>
    </row>
    <row r="2150" spans="1:6">
      <c r="A2150" s="143">
        <v>11604</v>
      </c>
      <c r="B2150" t="s">
        <v>3477</v>
      </c>
      <c r="C2150" t="s">
        <v>3478</v>
      </c>
      <c r="D2150" s="45" t="s">
        <v>6236</v>
      </c>
      <c r="E2150">
        <v>241</v>
      </c>
      <c r="F2150" s="765">
        <v>998.59</v>
      </c>
    </row>
    <row r="2151" spans="1:6">
      <c r="A2151" s="143">
        <v>12058</v>
      </c>
      <c r="B2151" t="s">
        <v>5594</v>
      </c>
      <c r="C2151" t="s">
        <v>6237</v>
      </c>
      <c r="D2151" s="45" t="s">
        <v>6238</v>
      </c>
      <c r="E2151">
        <v>241</v>
      </c>
      <c r="F2151" s="765">
        <v>393.13</v>
      </c>
    </row>
    <row r="2152" spans="1:6">
      <c r="A2152" s="143">
        <v>11023</v>
      </c>
      <c r="B2152" t="s">
        <v>3371</v>
      </c>
      <c r="C2152" t="s">
        <v>3465</v>
      </c>
      <c r="D2152" s="45" t="s">
        <v>6239</v>
      </c>
      <c r="E2152">
        <v>242</v>
      </c>
      <c r="F2152" s="765">
        <v>17.420000000000002</v>
      </c>
    </row>
    <row r="2153" spans="1:6">
      <c r="A2153" s="143">
        <v>11390</v>
      </c>
      <c r="B2153" t="s">
        <v>1224</v>
      </c>
      <c r="C2153" t="s">
        <v>3509</v>
      </c>
      <c r="D2153" s="45" t="s">
        <v>6241</v>
      </c>
      <c r="E2153">
        <v>242</v>
      </c>
      <c r="F2153" s="765">
        <v>1420.35</v>
      </c>
    </row>
    <row r="2154" spans="1:6">
      <c r="A2154" s="143">
        <v>11736</v>
      </c>
      <c r="B2154" t="s">
        <v>1026</v>
      </c>
      <c r="C2154" t="s">
        <v>3481</v>
      </c>
      <c r="D2154" s="45" t="s">
        <v>6242</v>
      </c>
      <c r="E2154">
        <v>242</v>
      </c>
      <c r="F2154" s="765">
        <v>459.41</v>
      </c>
    </row>
    <row r="2155" spans="1:6">
      <c r="A2155" s="143">
        <v>11737</v>
      </c>
      <c r="B2155" t="s">
        <v>1026</v>
      </c>
      <c r="C2155" t="s">
        <v>3481</v>
      </c>
      <c r="D2155" s="45" t="s">
        <v>6243</v>
      </c>
      <c r="E2155">
        <v>242</v>
      </c>
      <c r="F2155" s="765">
        <v>1778.94</v>
      </c>
    </row>
    <row r="2156" spans="1:6">
      <c r="A2156" s="143">
        <v>11811</v>
      </c>
      <c r="B2156" t="s">
        <v>3403</v>
      </c>
      <c r="C2156" t="s">
        <v>3929</v>
      </c>
      <c r="D2156" s="45" t="s">
        <v>6244</v>
      </c>
      <c r="E2156">
        <v>242</v>
      </c>
      <c r="F2156" s="765">
        <v>7825.07</v>
      </c>
    </row>
    <row r="2157" spans="1:6">
      <c r="A2157" s="143">
        <v>12002</v>
      </c>
      <c r="B2157" t="s">
        <v>3460</v>
      </c>
      <c r="C2157" t="s">
        <v>3461</v>
      </c>
      <c r="D2157" s="45" t="s">
        <v>6245</v>
      </c>
      <c r="E2157">
        <v>242</v>
      </c>
      <c r="F2157" s="765">
        <v>4600.63</v>
      </c>
    </row>
    <row r="2158" spans="1:6">
      <c r="A2158" s="143">
        <v>12035</v>
      </c>
      <c r="B2158" t="s">
        <v>5345</v>
      </c>
      <c r="C2158" t="s">
        <v>5346</v>
      </c>
      <c r="D2158" s="45" t="s">
        <v>6246</v>
      </c>
      <c r="E2158">
        <v>242</v>
      </c>
      <c r="F2158" s="765">
        <v>472.4</v>
      </c>
    </row>
    <row r="2159" spans="1:6">
      <c r="A2159" s="143">
        <v>12057</v>
      </c>
      <c r="B2159" t="s">
        <v>5665</v>
      </c>
      <c r="C2159" t="s">
        <v>5755</v>
      </c>
      <c r="D2159" s="45" t="s">
        <v>6247</v>
      </c>
      <c r="E2159">
        <v>242</v>
      </c>
      <c r="F2159" s="765">
        <v>122.1</v>
      </c>
    </row>
    <row r="2160" spans="1:6">
      <c r="A2160" s="143">
        <v>51029</v>
      </c>
      <c r="B2160" t="s">
        <v>5962</v>
      </c>
      <c r="C2160" t="s">
        <v>6176</v>
      </c>
      <c r="D2160" s="45" t="s">
        <v>6248</v>
      </c>
      <c r="E2160">
        <v>242</v>
      </c>
      <c r="F2160" s="765">
        <v>1682.92</v>
      </c>
    </row>
    <row r="2161" spans="1:6">
      <c r="A2161" s="143">
        <v>11444</v>
      </c>
      <c r="B2161" t="s">
        <v>6586</v>
      </c>
      <c r="C2161" t="s">
        <v>3444</v>
      </c>
      <c r="D2161" s="45" t="s">
        <v>6163</v>
      </c>
      <c r="E2161">
        <v>256</v>
      </c>
      <c r="F2161" s="765">
        <v>1247.51</v>
      </c>
    </row>
    <row r="2162" spans="1:6">
      <c r="A2162" s="143">
        <v>11444</v>
      </c>
      <c r="B2162" t="s">
        <v>6586</v>
      </c>
      <c r="C2162" t="s">
        <v>3444</v>
      </c>
      <c r="D2162" s="45" t="s">
        <v>6169</v>
      </c>
      <c r="E2162">
        <v>259</v>
      </c>
      <c r="F2162" s="765">
        <v>4507.5</v>
      </c>
    </row>
    <row r="2163" spans="1:6">
      <c r="A2163" s="143">
        <v>11444</v>
      </c>
      <c r="B2163" t="s">
        <v>6586</v>
      </c>
      <c r="C2163" t="s">
        <v>3444</v>
      </c>
      <c r="D2163" s="45" t="s">
        <v>6170</v>
      </c>
      <c r="E2163">
        <v>259</v>
      </c>
      <c r="F2163" s="765">
        <v>4507.5</v>
      </c>
    </row>
    <row r="2164" spans="1:6">
      <c r="A2164" s="143">
        <v>11444</v>
      </c>
      <c r="B2164" t="s">
        <v>6586</v>
      </c>
      <c r="C2164" t="s">
        <v>3444</v>
      </c>
      <c r="D2164" s="45" t="s">
        <v>6171</v>
      </c>
      <c r="E2164">
        <v>259</v>
      </c>
      <c r="F2164" s="765">
        <v>78250.350000000006</v>
      </c>
    </row>
    <row r="2165" spans="1:6">
      <c r="A2165" s="143">
        <v>11444</v>
      </c>
      <c r="B2165" t="s">
        <v>6586</v>
      </c>
      <c r="C2165" t="s">
        <v>3444</v>
      </c>
      <c r="D2165" s="45" t="s">
        <v>6166</v>
      </c>
      <c r="E2165">
        <v>259</v>
      </c>
      <c r="F2165" s="765">
        <v>24353.41</v>
      </c>
    </row>
    <row r="2166" spans="1:6">
      <c r="A2166" s="143">
        <v>11444</v>
      </c>
      <c r="B2166" t="s">
        <v>6586</v>
      </c>
      <c r="C2166" t="s">
        <v>3444</v>
      </c>
      <c r="D2166" s="45" t="s">
        <v>6167</v>
      </c>
      <c r="E2166">
        <v>259</v>
      </c>
      <c r="F2166" s="765">
        <v>5837.59</v>
      </c>
    </row>
    <row r="2167" spans="1:6">
      <c r="A2167" s="143">
        <v>11444</v>
      </c>
      <c r="B2167" t="s">
        <v>6586</v>
      </c>
      <c r="C2167" t="s">
        <v>3444</v>
      </c>
      <c r="D2167" s="45" t="s">
        <v>6168</v>
      </c>
      <c r="E2167">
        <v>259</v>
      </c>
      <c r="F2167" s="765">
        <v>4507.5</v>
      </c>
    </row>
    <row r="2168" spans="1:6">
      <c r="A2168" s="143">
        <v>11444</v>
      </c>
      <c r="B2168" t="s">
        <v>6586</v>
      </c>
      <c r="C2168" t="s">
        <v>3444</v>
      </c>
      <c r="D2168" s="45" t="s">
        <v>6164</v>
      </c>
      <c r="E2168">
        <v>259</v>
      </c>
      <c r="F2168" s="765">
        <v>4507.5</v>
      </c>
    </row>
    <row r="2169" spans="1:6">
      <c r="A2169" s="143">
        <v>11444</v>
      </c>
      <c r="B2169" t="s">
        <v>6586</v>
      </c>
      <c r="C2169" t="s">
        <v>3444</v>
      </c>
      <c r="D2169" s="45" t="s">
        <v>6165</v>
      </c>
      <c r="E2169">
        <v>259</v>
      </c>
      <c r="F2169" s="765">
        <v>58838.22</v>
      </c>
    </row>
    <row r="2170" spans="1:6">
      <c r="A2170" s="143">
        <v>11604</v>
      </c>
      <c r="B2170" t="s">
        <v>3477</v>
      </c>
      <c r="C2170" t="s">
        <v>3478</v>
      </c>
      <c r="D2170" s="45" t="s">
        <v>6172</v>
      </c>
      <c r="E2170">
        <v>269</v>
      </c>
      <c r="F2170" s="765">
        <v>1504.62</v>
      </c>
    </row>
    <row r="2171" spans="1:6">
      <c r="A2171" s="143">
        <v>11604</v>
      </c>
      <c r="B2171" t="s">
        <v>3477</v>
      </c>
      <c r="C2171" t="s">
        <v>3478</v>
      </c>
      <c r="D2171" s="45" t="s">
        <v>6173</v>
      </c>
      <c r="E2171">
        <v>269</v>
      </c>
      <c r="F2171" s="765">
        <v>2858.69</v>
      </c>
    </row>
    <row r="2172" spans="1:6">
      <c r="A2172" s="143">
        <v>12057</v>
      </c>
      <c r="B2172" t="s">
        <v>5665</v>
      </c>
      <c r="C2172" t="s">
        <v>5755</v>
      </c>
      <c r="D2172" s="45" t="s">
        <v>6174</v>
      </c>
      <c r="E2172">
        <v>269</v>
      </c>
      <c r="F2172" s="765">
        <v>122.1</v>
      </c>
    </row>
    <row r="2173" spans="1:6">
      <c r="A2173" s="143">
        <v>12068</v>
      </c>
      <c r="B2173" t="s">
        <v>5784</v>
      </c>
      <c r="C2173" t="s">
        <v>5887</v>
      </c>
      <c r="D2173" s="45" t="s">
        <v>6175</v>
      </c>
      <c r="E2173">
        <v>269</v>
      </c>
      <c r="F2173" s="765">
        <v>11518.96</v>
      </c>
    </row>
    <row r="2174" spans="1:6">
      <c r="A2174" s="143">
        <v>51029</v>
      </c>
      <c r="B2174" t="s">
        <v>5962</v>
      </c>
      <c r="C2174" t="s">
        <v>6176</v>
      </c>
      <c r="D2174" s="45" t="s">
        <v>6178</v>
      </c>
      <c r="E2174">
        <v>270</v>
      </c>
      <c r="F2174" s="765">
        <v>2581.92</v>
      </c>
    </row>
    <row r="2175" spans="1:6">
      <c r="A2175" s="143">
        <v>51029</v>
      </c>
      <c r="B2175" t="s">
        <v>5962</v>
      </c>
      <c r="C2175" t="s">
        <v>6176</v>
      </c>
      <c r="D2175" s="45" t="s">
        <v>6177</v>
      </c>
      <c r="E2175">
        <v>270</v>
      </c>
      <c r="F2175" s="765">
        <v>1822.1</v>
      </c>
    </row>
    <row r="2176" spans="1:6">
      <c r="A2176" s="143">
        <v>11023</v>
      </c>
      <c r="B2176" t="s">
        <v>3371</v>
      </c>
      <c r="C2176" t="s">
        <v>3465</v>
      </c>
      <c r="D2176" s="45" t="s">
        <v>6249</v>
      </c>
      <c r="E2176">
        <v>274</v>
      </c>
      <c r="F2176" s="765">
        <v>17.420000000000002</v>
      </c>
    </row>
    <row r="2177" spans="1:6">
      <c r="A2177" s="143">
        <v>11439</v>
      </c>
      <c r="B2177" t="s">
        <v>1022</v>
      </c>
      <c r="C2177" t="s">
        <v>3472</v>
      </c>
      <c r="D2177" s="45" t="s">
        <v>6179</v>
      </c>
      <c r="E2177">
        <v>274</v>
      </c>
      <c r="F2177" s="765">
        <v>1594.26</v>
      </c>
    </row>
    <row r="2178" spans="1:6">
      <c r="A2178" s="143">
        <v>11749</v>
      </c>
      <c r="B2178" t="s">
        <v>3573</v>
      </c>
      <c r="C2178" t="s">
        <v>3574</v>
      </c>
      <c r="D2178" s="45" t="s">
        <v>6180</v>
      </c>
      <c r="E2178">
        <v>274</v>
      </c>
      <c r="F2178" s="765">
        <v>0.39</v>
      </c>
    </row>
    <row r="2179" spans="1:6">
      <c r="A2179" s="143">
        <v>11749</v>
      </c>
      <c r="B2179" t="s">
        <v>3573</v>
      </c>
      <c r="C2179" t="s">
        <v>3574</v>
      </c>
      <c r="D2179" s="45" t="s">
        <v>6181</v>
      </c>
      <c r="E2179">
        <v>274</v>
      </c>
      <c r="F2179" s="765">
        <v>652.91999999999996</v>
      </c>
    </row>
    <row r="2180" spans="1:6">
      <c r="A2180" s="143">
        <v>11749</v>
      </c>
      <c r="B2180" t="s">
        <v>3573</v>
      </c>
      <c r="C2180" t="s">
        <v>3574</v>
      </c>
      <c r="D2180" s="45" t="s">
        <v>6182</v>
      </c>
      <c r="E2180">
        <v>274</v>
      </c>
      <c r="F2180" s="765">
        <v>1216.21</v>
      </c>
    </row>
    <row r="2181" spans="1:6">
      <c r="A2181" s="143">
        <v>11811</v>
      </c>
      <c r="B2181" t="s">
        <v>3403</v>
      </c>
      <c r="C2181" t="s">
        <v>3929</v>
      </c>
      <c r="D2181" s="45" t="s">
        <v>6183</v>
      </c>
      <c r="E2181">
        <v>274</v>
      </c>
      <c r="F2181" s="765">
        <v>6951.07</v>
      </c>
    </row>
    <row r="2182" spans="1:6">
      <c r="A2182" s="143">
        <v>12002</v>
      </c>
      <c r="B2182" t="s">
        <v>3460</v>
      </c>
      <c r="C2182" t="s">
        <v>3461</v>
      </c>
      <c r="D2182" s="45" t="s">
        <v>6184</v>
      </c>
      <c r="E2182">
        <v>274</v>
      </c>
      <c r="F2182" s="765">
        <v>4600.63</v>
      </c>
    </row>
    <row r="2183" spans="1:6">
      <c r="A2183" s="143">
        <v>12057</v>
      </c>
      <c r="B2183" t="s">
        <v>5665</v>
      </c>
      <c r="C2183" t="s">
        <v>5755</v>
      </c>
      <c r="D2183" s="45" t="s">
        <v>5940</v>
      </c>
      <c r="E2183">
        <v>296</v>
      </c>
      <c r="F2183" s="765">
        <v>399.56</v>
      </c>
    </row>
    <row r="2184" spans="1:6">
      <c r="A2184" s="143">
        <v>11439</v>
      </c>
      <c r="B2184" t="s">
        <v>1022</v>
      </c>
      <c r="C2184" t="s">
        <v>3472</v>
      </c>
      <c r="D2184" s="45" t="s">
        <v>5941</v>
      </c>
      <c r="E2184">
        <v>297</v>
      </c>
      <c r="F2184" s="765">
        <v>1594.26</v>
      </c>
    </row>
    <row r="2185" spans="1:6">
      <c r="A2185" s="143">
        <v>11946</v>
      </c>
      <c r="B2185" t="s">
        <v>3412</v>
      </c>
      <c r="C2185" t="s">
        <v>3490</v>
      </c>
      <c r="D2185" s="45" t="s">
        <v>5942</v>
      </c>
      <c r="E2185">
        <v>302</v>
      </c>
      <c r="F2185" s="765">
        <v>756.29</v>
      </c>
    </row>
    <row r="2186" spans="1:6">
      <c r="A2186" s="143">
        <v>12002</v>
      </c>
      <c r="B2186" t="s">
        <v>3460</v>
      </c>
      <c r="C2186" t="s">
        <v>3461</v>
      </c>
      <c r="D2186" s="45" t="s">
        <v>5943</v>
      </c>
      <c r="E2186">
        <v>303</v>
      </c>
      <c r="F2186" s="765">
        <v>4600.63</v>
      </c>
    </row>
    <row r="2187" spans="1:6">
      <c r="A2187" s="143">
        <v>11604</v>
      </c>
      <c r="B2187" t="s">
        <v>3477</v>
      </c>
      <c r="C2187" t="s">
        <v>3478</v>
      </c>
      <c r="D2187" s="45" t="s">
        <v>5944</v>
      </c>
      <c r="E2187">
        <v>304</v>
      </c>
      <c r="F2187" s="765">
        <v>1648.51</v>
      </c>
    </row>
    <row r="2188" spans="1:6">
      <c r="A2188" s="143">
        <v>11764</v>
      </c>
      <c r="B2188" t="s">
        <v>5327</v>
      </c>
      <c r="C2188" t="s">
        <v>5349</v>
      </c>
      <c r="D2188" s="45" t="s">
        <v>5945</v>
      </c>
      <c r="E2188">
        <v>304</v>
      </c>
      <c r="F2188" s="765">
        <v>20510.54</v>
      </c>
    </row>
    <row r="2189" spans="1:6">
      <c r="A2189" s="143">
        <v>11811</v>
      </c>
      <c r="B2189" t="s">
        <v>3403</v>
      </c>
      <c r="C2189" t="s">
        <v>3929</v>
      </c>
      <c r="D2189" s="45" t="s">
        <v>5946</v>
      </c>
      <c r="E2189">
        <v>304</v>
      </c>
      <c r="F2189" s="765">
        <v>7596.76</v>
      </c>
    </row>
    <row r="2190" spans="1:6">
      <c r="A2190" s="143">
        <v>11812</v>
      </c>
      <c r="B2190" t="s">
        <v>3404</v>
      </c>
      <c r="C2190" t="s">
        <v>3576</v>
      </c>
      <c r="D2190" s="45" t="s">
        <v>5947</v>
      </c>
      <c r="E2190">
        <v>304</v>
      </c>
      <c r="F2190" s="765">
        <v>3324.99</v>
      </c>
    </row>
    <row r="2191" spans="1:6">
      <c r="A2191" s="143">
        <v>11023</v>
      </c>
      <c r="B2191" t="s">
        <v>3371</v>
      </c>
      <c r="C2191" t="s">
        <v>3465</v>
      </c>
      <c r="D2191" s="45" t="s">
        <v>5948</v>
      </c>
      <c r="E2191">
        <v>305</v>
      </c>
      <c r="F2191" s="765">
        <v>17.43</v>
      </c>
    </row>
    <row r="2192" spans="1:6">
      <c r="A2192" s="143">
        <v>11764</v>
      </c>
      <c r="B2192" t="s">
        <v>5327</v>
      </c>
      <c r="C2192" t="s">
        <v>5349</v>
      </c>
      <c r="D2192" s="45" t="s">
        <v>5886</v>
      </c>
      <c r="E2192">
        <v>317</v>
      </c>
      <c r="F2192" s="765">
        <v>24042.22</v>
      </c>
    </row>
    <row r="2193" spans="1:6">
      <c r="A2193" s="143">
        <v>12068</v>
      </c>
      <c r="B2193" t="s">
        <v>5784</v>
      </c>
      <c r="C2193" t="s">
        <v>5887</v>
      </c>
      <c r="D2193" s="45" t="s">
        <v>5888</v>
      </c>
      <c r="E2193">
        <v>317</v>
      </c>
      <c r="F2193" s="765">
        <v>792.74</v>
      </c>
    </row>
    <row r="2194" spans="1:6">
      <c r="A2194" s="143">
        <v>12002</v>
      </c>
      <c r="B2194" t="s">
        <v>3460</v>
      </c>
      <c r="C2194" t="s">
        <v>3461</v>
      </c>
      <c r="D2194" s="45" t="s">
        <v>5889</v>
      </c>
      <c r="E2194">
        <v>329</v>
      </c>
      <c r="F2194" s="765">
        <v>4600.63</v>
      </c>
    </row>
    <row r="2195" spans="1:6">
      <c r="A2195" s="143">
        <v>31027</v>
      </c>
      <c r="B2195" t="s">
        <v>1033</v>
      </c>
      <c r="C2195" t="s">
        <v>3478</v>
      </c>
      <c r="D2195" s="45" t="s">
        <v>5890</v>
      </c>
      <c r="E2195">
        <v>329</v>
      </c>
      <c r="F2195" s="765">
        <v>1727.81</v>
      </c>
    </row>
    <row r="2196" spans="1:6">
      <c r="A2196" s="143">
        <v>11439</v>
      </c>
      <c r="B2196" t="s">
        <v>1022</v>
      </c>
      <c r="C2196" t="s">
        <v>3472</v>
      </c>
      <c r="D2196" s="45" t="s">
        <v>5891</v>
      </c>
      <c r="E2196">
        <v>330</v>
      </c>
      <c r="F2196" s="765">
        <v>1594.26</v>
      </c>
    </row>
    <row r="2197" spans="1:6">
      <c r="A2197" s="143">
        <v>11604</v>
      </c>
      <c r="B2197" t="s">
        <v>3477</v>
      </c>
      <c r="C2197" t="s">
        <v>3478</v>
      </c>
      <c r="D2197" s="45" t="s">
        <v>5892</v>
      </c>
      <c r="E2197">
        <v>330</v>
      </c>
      <c r="F2197" s="765">
        <v>3985.57</v>
      </c>
    </row>
    <row r="2198" spans="1:6">
      <c r="A2198" s="143">
        <v>11621</v>
      </c>
      <c r="B2198" t="s">
        <v>5878</v>
      </c>
      <c r="C2198" t="s">
        <v>5893</v>
      </c>
      <c r="D2198" s="45" t="s">
        <v>5894</v>
      </c>
      <c r="E2198">
        <v>330</v>
      </c>
      <c r="F2198" s="765">
        <v>446.25</v>
      </c>
    </row>
    <row r="2199" spans="1:6">
      <c r="A2199" s="143">
        <v>11811</v>
      </c>
      <c r="B2199" t="s">
        <v>3403</v>
      </c>
      <c r="C2199" t="s">
        <v>3929</v>
      </c>
      <c r="D2199" s="45" t="s">
        <v>5895</v>
      </c>
      <c r="E2199">
        <v>330</v>
      </c>
      <c r="F2199" s="765">
        <v>6504.37</v>
      </c>
    </row>
    <row r="2200" spans="1:6">
      <c r="A2200" s="143">
        <v>12057</v>
      </c>
      <c r="B2200" t="s">
        <v>5665</v>
      </c>
      <c r="C2200" t="s">
        <v>5755</v>
      </c>
      <c r="D2200" s="45" t="s">
        <v>5896</v>
      </c>
      <c r="E2200">
        <v>330</v>
      </c>
      <c r="F2200" s="765">
        <v>280.64999999999998</v>
      </c>
    </row>
    <row r="2201" spans="1:6">
      <c r="A2201" s="143">
        <v>11023</v>
      </c>
      <c r="B2201" t="s">
        <v>3371</v>
      </c>
      <c r="C2201" t="s">
        <v>3465</v>
      </c>
      <c r="D2201" s="45" t="s">
        <v>5897</v>
      </c>
      <c r="E2201">
        <v>332</v>
      </c>
      <c r="F2201" s="765">
        <v>17.420000000000002</v>
      </c>
    </row>
    <row r="2202" spans="1:6">
      <c r="A2202" s="143">
        <v>11991</v>
      </c>
      <c r="B2202" t="s">
        <v>3415</v>
      </c>
      <c r="C2202" t="s">
        <v>3441</v>
      </c>
      <c r="D2202" s="45" t="s">
        <v>5754</v>
      </c>
      <c r="E2202">
        <v>359</v>
      </c>
      <c r="F2202" s="765">
        <v>1051.6199999999999</v>
      </c>
    </row>
    <row r="2203" spans="1:6">
      <c r="A2203" s="143">
        <v>12057</v>
      </c>
      <c r="B2203" t="s">
        <v>5665</v>
      </c>
      <c r="C2203" t="s">
        <v>5755</v>
      </c>
      <c r="D2203" s="45" t="s">
        <v>5756</v>
      </c>
      <c r="E2203">
        <v>359</v>
      </c>
      <c r="F2203" s="765">
        <v>20801.95</v>
      </c>
    </row>
    <row r="2204" spans="1:6">
      <c r="A2204" s="143">
        <v>11023</v>
      </c>
      <c r="B2204" t="s">
        <v>3371</v>
      </c>
      <c r="C2204" t="s">
        <v>3465</v>
      </c>
      <c r="D2204" s="45" t="s">
        <v>5757</v>
      </c>
      <c r="E2204">
        <v>360</v>
      </c>
      <c r="F2204" s="765">
        <v>17.420000000000002</v>
      </c>
    </row>
    <row r="2205" spans="1:6">
      <c r="A2205" s="143">
        <v>11326</v>
      </c>
      <c r="B2205" t="s">
        <v>3384</v>
      </c>
      <c r="C2205" t="s">
        <v>3470</v>
      </c>
      <c r="D2205" s="45" t="s">
        <v>5758</v>
      </c>
      <c r="E2205">
        <v>360</v>
      </c>
      <c r="F2205" s="765">
        <v>2428.33</v>
      </c>
    </row>
    <row r="2206" spans="1:6">
      <c r="A2206" s="143">
        <v>11764</v>
      </c>
      <c r="B2206" t="s">
        <v>5327</v>
      </c>
      <c r="C2206" t="s">
        <v>5349</v>
      </c>
      <c r="D2206" s="45" t="s">
        <v>5759</v>
      </c>
      <c r="E2206">
        <v>360</v>
      </c>
      <c r="F2206" s="765">
        <v>16644.96</v>
      </c>
    </row>
    <row r="2207" spans="1:6">
      <c r="A2207" s="143">
        <v>11811</v>
      </c>
      <c r="B2207" t="s">
        <v>3403</v>
      </c>
      <c r="C2207" t="s">
        <v>3929</v>
      </c>
      <c r="D2207" s="45" t="s">
        <v>5760</v>
      </c>
      <c r="E2207">
        <v>360</v>
      </c>
      <c r="F2207" s="765">
        <v>5906.45</v>
      </c>
    </row>
    <row r="2208" spans="1:6">
      <c r="A2208" s="143">
        <v>12002</v>
      </c>
      <c r="B2208" t="s">
        <v>3460</v>
      </c>
      <c r="C2208" t="s">
        <v>3461</v>
      </c>
      <c r="D2208" s="45" t="s">
        <v>5762</v>
      </c>
      <c r="E2208">
        <v>360</v>
      </c>
      <c r="F2208" s="765">
        <v>4301.3500000000004</v>
      </c>
    </row>
    <row r="2209" spans="1:7" ht="15">
      <c r="A2209" s="1555"/>
      <c r="B2209" s="1555" t="s">
        <v>7429</v>
      </c>
      <c r="C2209" s="1555"/>
      <c r="D2209" s="1556"/>
      <c r="E2209" s="1555"/>
      <c r="F2209" s="1557"/>
      <c r="G2209" s="1558">
        <f>SUM(F2118:F2208)</f>
        <v>759522.88</v>
      </c>
    </row>
    <row r="2210" spans="1:7">
      <c r="A2210" s="143">
        <v>11991</v>
      </c>
      <c r="B2210" t="s">
        <v>3415</v>
      </c>
      <c r="C2210" t="s">
        <v>3441</v>
      </c>
      <c r="D2210" s="45" t="s">
        <v>5614</v>
      </c>
      <c r="E2210">
        <v>394</v>
      </c>
      <c r="F2210" s="765">
        <v>2677.73</v>
      </c>
    </row>
    <row r="2211" spans="1:7">
      <c r="A2211" s="143">
        <v>12002</v>
      </c>
      <c r="B2211" t="s">
        <v>3460</v>
      </c>
      <c r="C2211" t="s">
        <v>3461</v>
      </c>
      <c r="D2211" s="45" t="s">
        <v>5615</v>
      </c>
      <c r="E2211">
        <v>394</v>
      </c>
      <c r="F2211" s="765">
        <v>4301.3500000000004</v>
      </c>
    </row>
    <row r="2212" spans="1:7">
      <c r="A2212" s="143">
        <v>11023</v>
      </c>
      <c r="B2212" t="s">
        <v>3371</v>
      </c>
      <c r="C2212" t="s">
        <v>3465</v>
      </c>
      <c r="D2212" s="45" t="s">
        <v>5616</v>
      </c>
      <c r="E2212">
        <v>395</v>
      </c>
      <c r="F2212" s="765">
        <v>17.420000000000002</v>
      </c>
    </row>
    <row r="2213" spans="1:7">
      <c r="A2213" s="143">
        <v>11811</v>
      </c>
      <c r="B2213" t="s">
        <v>3403</v>
      </c>
      <c r="C2213" t="s">
        <v>3929</v>
      </c>
      <c r="D2213" s="45" t="s">
        <v>5617</v>
      </c>
      <c r="E2213">
        <v>395</v>
      </c>
      <c r="F2213" s="765">
        <v>6297.13</v>
      </c>
    </row>
    <row r="2214" spans="1:7">
      <c r="A2214" s="143">
        <v>11023</v>
      </c>
      <c r="B2214" t="s">
        <v>3371</v>
      </c>
      <c r="C2214" t="s">
        <v>3465</v>
      </c>
      <c r="D2214" s="45" t="s">
        <v>5337</v>
      </c>
      <c r="E2214">
        <v>402</v>
      </c>
      <c r="F2214" s="765">
        <v>107.5</v>
      </c>
    </row>
    <row r="2215" spans="1:7">
      <c r="A2215" s="143">
        <v>11991</v>
      </c>
      <c r="B2215" t="s">
        <v>3415</v>
      </c>
      <c r="C2215" t="s">
        <v>3441</v>
      </c>
      <c r="D2215" s="45" t="s">
        <v>5338</v>
      </c>
      <c r="E2215">
        <v>416</v>
      </c>
      <c r="F2215" s="765">
        <v>5369.8</v>
      </c>
    </row>
    <row r="2216" spans="1:7">
      <c r="A2216" s="143">
        <v>11991</v>
      </c>
      <c r="B2216" t="s">
        <v>3415</v>
      </c>
      <c r="C2216" t="s">
        <v>3441</v>
      </c>
      <c r="D2216" s="45" t="s">
        <v>5339</v>
      </c>
      <c r="E2216">
        <v>416</v>
      </c>
      <c r="F2216" s="765">
        <v>8312.51</v>
      </c>
    </row>
    <row r="2217" spans="1:7">
      <c r="A2217" s="143">
        <v>11991</v>
      </c>
      <c r="B2217" t="s">
        <v>3415</v>
      </c>
      <c r="C2217" t="s">
        <v>3441</v>
      </c>
      <c r="D2217" s="45" t="s">
        <v>5340</v>
      </c>
      <c r="E2217">
        <v>416</v>
      </c>
      <c r="F2217" s="765">
        <v>6794.35</v>
      </c>
    </row>
    <row r="2218" spans="1:7">
      <c r="A2218" s="143">
        <v>11991</v>
      </c>
      <c r="B2218" t="s">
        <v>3415</v>
      </c>
      <c r="C2218" t="s">
        <v>3441</v>
      </c>
      <c r="D2218" s="45" t="s">
        <v>5341</v>
      </c>
      <c r="E2218">
        <v>416</v>
      </c>
      <c r="F2218" s="765">
        <v>6616.19</v>
      </c>
    </row>
    <row r="2219" spans="1:7">
      <c r="A2219" s="143">
        <v>11604</v>
      </c>
      <c r="B2219" t="s">
        <v>3477</v>
      </c>
      <c r="C2219" t="s">
        <v>3478</v>
      </c>
      <c r="D2219" s="45" t="s">
        <v>5342</v>
      </c>
      <c r="E2219">
        <v>422</v>
      </c>
      <c r="F2219" s="765">
        <v>1429.07</v>
      </c>
    </row>
    <row r="2220" spans="1:7">
      <c r="A2220" s="143">
        <v>11946</v>
      </c>
      <c r="B2220" t="s">
        <v>3412</v>
      </c>
      <c r="C2220" t="s">
        <v>3490</v>
      </c>
      <c r="D2220" s="45" t="s">
        <v>5343</v>
      </c>
      <c r="E2220">
        <v>422</v>
      </c>
      <c r="F2220" s="765">
        <v>8339.59</v>
      </c>
    </row>
    <row r="2221" spans="1:7">
      <c r="A2221" s="143">
        <v>11953</v>
      </c>
      <c r="B2221" t="s">
        <v>3602</v>
      </c>
      <c r="C2221" t="s">
        <v>3603</v>
      </c>
      <c r="D2221" s="45" t="s">
        <v>5344</v>
      </c>
      <c r="E2221">
        <v>422</v>
      </c>
      <c r="F2221" s="765">
        <v>150.99</v>
      </c>
    </row>
    <row r="2222" spans="1:7">
      <c r="A2222" s="143">
        <v>12035</v>
      </c>
      <c r="B2222" t="s">
        <v>5345</v>
      </c>
      <c r="C2222" t="s">
        <v>5346</v>
      </c>
      <c r="D2222" s="45" t="s">
        <v>5347</v>
      </c>
      <c r="E2222">
        <v>422</v>
      </c>
      <c r="F2222" s="765">
        <v>304.77</v>
      </c>
    </row>
    <row r="2223" spans="1:7">
      <c r="A2223" s="143">
        <v>11023</v>
      </c>
      <c r="B2223" t="s">
        <v>3371</v>
      </c>
      <c r="C2223" t="s">
        <v>3465</v>
      </c>
      <c r="D2223" s="45" t="s">
        <v>5348</v>
      </c>
      <c r="E2223">
        <v>423</v>
      </c>
      <c r="F2223" s="765">
        <v>17.399999999999999</v>
      </c>
    </row>
    <row r="2224" spans="1:7">
      <c r="A2224" s="143">
        <v>11811</v>
      </c>
      <c r="B2224" t="s">
        <v>3403</v>
      </c>
      <c r="C2224" t="s">
        <v>3929</v>
      </c>
      <c r="D2224" s="45" t="s">
        <v>5350</v>
      </c>
      <c r="E2224">
        <v>423</v>
      </c>
      <c r="F2224" s="765">
        <v>5926.08</v>
      </c>
    </row>
    <row r="2225" spans="1:6">
      <c r="A2225" s="143">
        <v>12002</v>
      </c>
      <c r="B2225" t="s">
        <v>3460</v>
      </c>
      <c r="C2225" t="s">
        <v>3461</v>
      </c>
      <c r="D2225" s="45" t="s">
        <v>5352</v>
      </c>
      <c r="E2225">
        <v>423</v>
      </c>
      <c r="F2225" s="765">
        <v>4301.3500000000004</v>
      </c>
    </row>
    <row r="2226" spans="1:6">
      <c r="A2226" s="143">
        <v>11991</v>
      </c>
      <c r="B2226" t="s">
        <v>3415</v>
      </c>
      <c r="C2226" t="s">
        <v>3441</v>
      </c>
      <c r="D2226" s="45" t="s">
        <v>5294</v>
      </c>
      <c r="E2226">
        <v>442</v>
      </c>
      <c r="F2226" s="765">
        <v>6641.86</v>
      </c>
    </row>
    <row r="2227" spans="1:6">
      <c r="A2227" s="143">
        <v>11991</v>
      </c>
      <c r="B2227" t="s">
        <v>3415</v>
      </c>
      <c r="C2227" t="s">
        <v>3441</v>
      </c>
      <c r="D2227" s="45" t="s">
        <v>5295</v>
      </c>
      <c r="E2227">
        <v>442</v>
      </c>
      <c r="F2227" s="765">
        <v>11791.98</v>
      </c>
    </row>
    <row r="2228" spans="1:6">
      <c r="A2228" s="143">
        <v>11946</v>
      </c>
      <c r="B2228" t="s">
        <v>3412</v>
      </c>
      <c r="C2228" t="s">
        <v>3490</v>
      </c>
      <c r="D2228" s="45" t="s">
        <v>5296</v>
      </c>
      <c r="E2228">
        <v>450</v>
      </c>
      <c r="F2228" s="765">
        <v>5892.11</v>
      </c>
    </row>
    <row r="2229" spans="1:6">
      <c r="A2229" s="143">
        <v>12010</v>
      </c>
      <c r="B2229" t="s">
        <v>3225</v>
      </c>
      <c r="C2229" t="s">
        <v>5247</v>
      </c>
      <c r="D2229" s="45" t="s">
        <v>5297</v>
      </c>
      <c r="E2229">
        <v>450</v>
      </c>
      <c r="F2229" s="765">
        <v>6649.06</v>
      </c>
    </row>
    <row r="2230" spans="1:6">
      <c r="A2230" s="143">
        <v>11023</v>
      </c>
      <c r="B2230" t="s">
        <v>3371</v>
      </c>
      <c r="C2230" t="s">
        <v>3465</v>
      </c>
      <c r="D2230" s="45" t="s">
        <v>5298</v>
      </c>
      <c r="E2230">
        <v>452</v>
      </c>
      <c r="F2230" s="765">
        <v>17.399999999999999</v>
      </c>
    </row>
    <row r="2231" spans="1:6">
      <c r="A2231" s="143">
        <v>11971</v>
      </c>
      <c r="B2231" t="s">
        <v>4028</v>
      </c>
      <c r="C2231" t="s">
        <v>4034</v>
      </c>
      <c r="D2231" s="45" t="s">
        <v>5299</v>
      </c>
      <c r="E2231">
        <v>452</v>
      </c>
      <c r="F2231" s="765">
        <v>79.180000000000007</v>
      </c>
    </row>
    <row r="2232" spans="1:6">
      <c r="A2232" s="143">
        <v>12002</v>
      </c>
      <c r="B2232" t="s">
        <v>3460</v>
      </c>
      <c r="C2232" t="s">
        <v>3461</v>
      </c>
      <c r="D2232" s="45" t="s">
        <v>5300</v>
      </c>
      <c r="E2232">
        <v>452</v>
      </c>
      <c r="F2232" s="765">
        <v>4301.3500000000004</v>
      </c>
    </row>
    <row r="2233" spans="1:6">
      <c r="A2233" s="143">
        <v>12040</v>
      </c>
      <c r="B2233" t="s">
        <v>5301</v>
      </c>
      <c r="C2233" t="s">
        <v>5302</v>
      </c>
      <c r="D2233" s="45" t="s">
        <v>5303</v>
      </c>
      <c r="E2233">
        <v>452</v>
      </c>
      <c r="F2233" s="765">
        <v>1197.32</v>
      </c>
    </row>
    <row r="2234" spans="1:6">
      <c r="A2234" s="143">
        <v>11173</v>
      </c>
      <c r="B2234" t="s">
        <v>3379</v>
      </c>
      <c r="C2234" t="s">
        <v>3468</v>
      </c>
      <c r="D2234" s="45" t="s">
        <v>5304</v>
      </c>
      <c r="E2234">
        <v>455</v>
      </c>
      <c r="F2234" s="765">
        <v>248.91</v>
      </c>
    </row>
    <row r="2235" spans="1:6">
      <c r="A2235" s="143">
        <v>11604</v>
      </c>
      <c r="B2235" t="s">
        <v>3477</v>
      </c>
      <c r="C2235" t="s">
        <v>3478</v>
      </c>
      <c r="D2235" s="45" t="s">
        <v>5305</v>
      </c>
      <c r="E2235">
        <v>455</v>
      </c>
      <c r="F2235" s="765">
        <v>1769.17</v>
      </c>
    </row>
    <row r="2236" spans="1:6">
      <c r="A2236" s="143">
        <v>11811</v>
      </c>
      <c r="B2236" t="s">
        <v>3403</v>
      </c>
      <c r="C2236" t="s">
        <v>3929</v>
      </c>
      <c r="D2236" s="45" t="s">
        <v>5307</v>
      </c>
      <c r="E2236">
        <v>455</v>
      </c>
      <c r="F2236" s="765">
        <v>6436.03</v>
      </c>
    </row>
    <row r="2237" spans="1:6">
      <c r="A2237" s="143">
        <v>11898</v>
      </c>
      <c r="B2237" t="s">
        <v>3407</v>
      </c>
      <c r="C2237" t="s">
        <v>3518</v>
      </c>
      <c r="D2237" s="45" t="s">
        <v>5309</v>
      </c>
      <c r="E2237">
        <v>456</v>
      </c>
      <c r="F2237" s="765">
        <v>4437.51</v>
      </c>
    </row>
    <row r="2238" spans="1:6">
      <c r="A2238" s="143">
        <v>12010</v>
      </c>
      <c r="B2238" t="s">
        <v>3225</v>
      </c>
      <c r="C2238" t="s">
        <v>5247</v>
      </c>
      <c r="D2238" s="45" t="s">
        <v>5248</v>
      </c>
      <c r="E2238">
        <v>457</v>
      </c>
      <c r="F2238" s="765">
        <v>20138.88</v>
      </c>
    </row>
    <row r="2239" spans="1:6">
      <c r="A2239" s="143">
        <v>11991</v>
      </c>
      <c r="B2239" t="s">
        <v>3415</v>
      </c>
      <c r="C2239" t="s">
        <v>3441</v>
      </c>
      <c r="D2239" s="45" t="s">
        <v>5249</v>
      </c>
      <c r="E2239">
        <v>459</v>
      </c>
      <c r="F2239" s="765">
        <v>1756.5</v>
      </c>
    </row>
    <row r="2240" spans="1:6">
      <c r="A2240" s="143">
        <v>12044</v>
      </c>
      <c r="B2240" t="s">
        <v>5224</v>
      </c>
      <c r="C2240" t="s">
        <v>5250</v>
      </c>
      <c r="D2240" s="45" t="s">
        <v>5251</v>
      </c>
      <c r="E2240">
        <v>459</v>
      </c>
      <c r="F2240" s="765">
        <v>3892.17</v>
      </c>
    </row>
    <row r="2241" spans="1:6">
      <c r="A2241" s="143">
        <v>11439</v>
      </c>
      <c r="B2241" t="s">
        <v>1022</v>
      </c>
      <c r="C2241" t="s">
        <v>3472</v>
      </c>
      <c r="D2241" s="45" t="s">
        <v>5252</v>
      </c>
      <c r="E2241">
        <v>483</v>
      </c>
      <c r="F2241" s="765">
        <v>2864.86</v>
      </c>
    </row>
    <row r="2242" spans="1:6">
      <c r="A2242" s="143">
        <v>11749</v>
      </c>
      <c r="B2242" t="s">
        <v>3573</v>
      </c>
      <c r="C2242" t="s">
        <v>3574</v>
      </c>
      <c r="D2242" s="45" t="s">
        <v>5253</v>
      </c>
      <c r="E2242">
        <v>483</v>
      </c>
      <c r="F2242" s="765">
        <v>36.24</v>
      </c>
    </row>
    <row r="2243" spans="1:6">
      <c r="A2243" s="143">
        <v>11749</v>
      </c>
      <c r="B2243" t="s">
        <v>3573</v>
      </c>
      <c r="C2243" t="s">
        <v>3574</v>
      </c>
      <c r="D2243" s="45" t="s">
        <v>5254</v>
      </c>
      <c r="E2243">
        <v>483</v>
      </c>
      <c r="F2243" s="765">
        <v>1135.8399999999999</v>
      </c>
    </row>
    <row r="2244" spans="1:6">
      <c r="A2244" s="143">
        <v>11749</v>
      </c>
      <c r="B2244" t="s">
        <v>3573</v>
      </c>
      <c r="C2244" t="s">
        <v>3574</v>
      </c>
      <c r="D2244" s="45" t="s">
        <v>5255</v>
      </c>
      <c r="E2244">
        <v>483</v>
      </c>
      <c r="F2244" s="765">
        <v>659.03</v>
      </c>
    </row>
    <row r="2245" spans="1:6">
      <c r="A2245" s="143">
        <v>11867</v>
      </c>
      <c r="B2245" t="s">
        <v>1198</v>
      </c>
      <c r="C2245" t="s">
        <v>3465</v>
      </c>
      <c r="D2245" s="45" t="s">
        <v>5256</v>
      </c>
      <c r="E2245">
        <v>483</v>
      </c>
      <c r="F2245" s="765">
        <v>2782.83</v>
      </c>
    </row>
    <row r="2246" spans="1:6">
      <c r="A2246" s="143">
        <v>11023</v>
      </c>
      <c r="B2246" t="s">
        <v>3371</v>
      </c>
      <c r="C2246" t="s">
        <v>3465</v>
      </c>
      <c r="D2246" s="45" t="s">
        <v>5257</v>
      </c>
      <c r="E2246">
        <v>484</v>
      </c>
      <c r="F2246" s="765">
        <v>17.399999999999999</v>
      </c>
    </row>
    <row r="2247" spans="1:6">
      <c r="A2247" s="143">
        <v>11946</v>
      </c>
      <c r="B2247" t="s">
        <v>3412</v>
      </c>
      <c r="C2247" t="s">
        <v>3490</v>
      </c>
      <c r="D2247" s="45" t="s">
        <v>5258</v>
      </c>
      <c r="E2247">
        <v>484</v>
      </c>
      <c r="F2247" s="765">
        <v>7260.04</v>
      </c>
    </row>
    <row r="2248" spans="1:6">
      <c r="A2248" s="143">
        <v>12002</v>
      </c>
      <c r="B2248" t="s">
        <v>3460</v>
      </c>
      <c r="C2248" t="s">
        <v>3461</v>
      </c>
      <c r="D2248" s="45" t="s">
        <v>5259</v>
      </c>
      <c r="E2248">
        <v>484</v>
      </c>
      <c r="F2248" s="765">
        <v>4301.3500000000004</v>
      </c>
    </row>
    <row r="2249" spans="1:6">
      <c r="A2249" s="143">
        <v>11173</v>
      </c>
      <c r="B2249" t="s">
        <v>3379</v>
      </c>
      <c r="C2249" t="s">
        <v>3468</v>
      </c>
      <c r="D2249" s="45" t="s">
        <v>5260</v>
      </c>
      <c r="E2249">
        <v>485</v>
      </c>
      <c r="F2249" s="765">
        <v>227.77</v>
      </c>
    </row>
    <row r="2250" spans="1:6">
      <c r="A2250" s="143">
        <v>11604</v>
      </c>
      <c r="B2250" t="s">
        <v>3477</v>
      </c>
      <c r="C2250" t="s">
        <v>3478</v>
      </c>
      <c r="D2250" s="45" t="s">
        <v>5261</v>
      </c>
      <c r="E2250">
        <v>485</v>
      </c>
      <c r="F2250" s="765">
        <v>2541.84</v>
      </c>
    </row>
    <row r="2251" spans="1:6">
      <c r="A2251" s="143">
        <v>11811</v>
      </c>
      <c r="B2251" t="s">
        <v>3403</v>
      </c>
      <c r="C2251" t="s">
        <v>3929</v>
      </c>
      <c r="D2251" s="45" t="s">
        <v>5262</v>
      </c>
      <c r="E2251">
        <v>485</v>
      </c>
      <c r="F2251" s="765">
        <v>5465.19</v>
      </c>
    </row>
    <row r="2252" spans="1:6">
      <c r="A2252" s="143">
        <v>11812</v>
      </c>
      <c r="B2252" t="s">
        <v>3404</v>
      </c>
      <c r="C2252" t="s">
        <v>3576</v>
      </c>
      <c r="D2252" s="45" t="s">
        <v>5263</v>
      </c>
      <c r="E2252">
        <v>485</v>
      </c>
      <c r="F2252" s="765">
        <v>3435.99</v>
      </c>
    </row>
    <row r="2253" spans="1:6">
      <c r="A2253" s="143">
        <v>11432</v>
      </c>
      <c r="B2253" t="s">
        <v>5264</v>
      </c>
      <c r="C2253" t="s">
        <v>5265</v>
      </c>
      <c r="D2253" s="45" t="s">
        <v>5266</v>
      </c>
      <c r="E2253">
        <v>486</v>
      </c>
      <c r="F2253" s="765">
        <v>4460.75</v>
      </c>
    </row>
    <row r="2254" spans="1:6">
      <c r="A2254" s="143">
        <v>11762</v>
      </c>
      <c r="B2254" t="s">
        <v>1028</v>
      </c>
      <c r="C2254" t="s">
        <v>3926</v>
      </c>
      <c r="D2254" s="45" t="s">
        <v>4709</v>
      </c>
      <c r="E2254">
        <v>494</v>
      </c>
      <c r="F2254" s="765">
        <v>1114.4000000000001</v>
      </c>
    </row>
    <row r="2255" spans="1:6">
      <c r="A2255" s="143">
        <v>11762</v>
      </c>
      <c r="B2255" t="s">
        <v>1028</v>
      </c>
      <c r="C2255" t="s">
        <v>3926</v>
      </c>
      <c r="D2255" s="45" t="s">
        <v>4710</v>
      </c>
      <c r="E2255">
        <v>494</v>
      </c>
      <c r="F2255" s="765">
        <v>415.21</v>
      </c>
    </row>
    <row r="2256" spans="1:6">
      <c r="A2256" s="143">
        <v>11023</v>
      </c>
      <c r="B2256" t="s">
        <v>3371</v>
      </c>
      <c r="C2256" t="s">
        <v>3465</v>
      </c>
      <c r="D2256" s="45" t="s">
        <v>4711</v>
      </c>
      <c r="E2256">
        <v>513</v>
      </c>
      <c r="F2256" s="765">
        <v>17.41</v>
      </c>
    </row>
    <row r="2257" spans="1:6">
      <c r="A2257" s="143">
        <v>11971</v>
      </c>
      <c r="B2257" t="s">
        <v>4028</v>
      </c>
      <c r="C2257" t="s">
        <v>4034</v>
      </c>
      <c r="D2257" s="45" t="s">
        <v>4712</v>
      </c>
      <c r="E2257">
        <v>513</v>
      </c>
      <c r="F2257" s="765">
        <v>79.180000000000007</v>
      </c>
    </row>
    <row r="2258" spans="1:6">
      <c r="A2258" s="143">
        <v>11984</v>
      </c>
      <c r="B2258" t="s">
        <v>3268</v>
      </c>
      <c r="C2258" t="s">
        <v>3521</v>
      </c>
      <c r="D2258" s="45" t="s">
        <v>4713</v>
      </c>
      <c r="E2258">
        <v>513</v>
      </c>
      <c r="F2258" s="765">
        <v>316.74</v>
      </c>
    </row>
    <row r="2259" spans="1:6">
      <c r="A2259" s="143">
        <v>11988</v>
      </c>
      <c r="B2259" t="s">
        <v>3144</v>
      </c>
      <c r="C2259" t="s">
        <v>3533</v>
      </c>
      <c r="D2259" s="45" t="s">
        <v>4714</v>
      </c>
      <c r="E2259">
        <v>513</v>
      </c>
      <c r="F2259" s="765">
        <v>1686.95</v>
      </c>
    </row>
    <row r="2260" spans="1:6">
      <c r="A2260" s="143">
        <v>11993</v>
      </c>
      <c r="B2260" t="s">
        <v>3157</v>
      </c>
      <c r="C2260" t="s">
        <v>3454</v>
      </c>
      <c r="D2260" s="45" t="s">
        <v>4715</v>
      </c>
      <c r="E2260">
        <v>513</v>
      </c>
      <c r="F2260" s="765">
        <v>52.79</v>
      </c>
    </row>
    <row r="2261" spans="1:6">
      <c r="A2261" s="143">
        <v>12002</v>
      </c>
      <c r="B2261" t="s">
        <v>3460</v>
      </c>
      <c r="C2261" t="s">
        <v>3461</v>
      </c>
      <c r="D2261" s="45" t="s">
        <v>4716</v>
      </c>
      <c r="E2261">
        <v>513</v>
      </c>
      <c r="F2261" s="765">
        <v>4301.82</v>
      </c>
    </row>
    <row r="2262" spans="1:6">
      <c r="A2262" s="143">
        <v>11173</v>
      </c>
      <c r="B2262" t="s">
        <v>3379</v>
      </c>
      <c r="C2262" t="s">
        <v>3468</v>
      </c>
      <c r="D2262" s="45" t="s">
        <v>4717</v>
      </c>
      <c r="E2262">
        <v>515</v>
      </c>
      <c r="F2262" s="765">
        <v>228.9</v>
      </c>
    </row>
    <row r="2263" spans="1:6">
      <c r="A2263" s="143">
        <v>11370</v>
      </c>
      <c r="B2263" t="s">
        <v>3386</v>
      </c>
      <c r="C2263" t="s">
        <v>3593</v>
      </c>
      <c r="D2263" s="45" t="s">
        <v>4718</v>
      </c>
      <c r="E2263">
        <v>515</v>
      </c>
      <c r="F2263" s="765">
        <v>354.87</v>
      </c>
    </row>
    <row r="2264" spans="1:6">
      <c r="A2264" s="143">
        <v>11604</v>
      </c>
      <c r="B2264" t="s">
        <v>3477</v>
      </c>
      <c r="C2264" t="s">
        <v>3478</v>
      </c>
      <c r="D2264" s="45" t="s">
        <v>4719</v>
      </c>
      <c r="E2264">
        <v>515</v>
      </c>
      <c r="F2264" s="765">
        <v>1692.17</v>
      </c>
    </row>
    <row r="2265" spans="1:6">
      <c r="A2265" s="143">
        <v>11811</v>
      </c>
      <c r="B2265" t="s">
        <v>3403</v>
      </c>
      <c r="C2265" t="s">
        <v>3929</v>
      </c>
      <c r="D2265" s="45" t="s">
        <v>4720</v>
      </c>
      <c r="E2265">
        <v>515</v>
      </c>
      <c r="F2265" s="765">
        <v>5830.96</v>
      </c>
    </row>
    <row r="2266" spans="1:6">
      <c r="A2266" s="143">
        <v>11975</v>
      </c>
      <c r="B2266" t="s">
        <v>3134</v>
      </c>
      <c r="C2266" t="s">
        <v>3491</v>
      </c>
      <c r="D2266" s="45" t="s">
        <v>4721</v>
      </c>
      <c r="E2266">
        <v>515</v>
      </c>
      <c r="F2266" s="765">
        <v>79.180000000000007</v>
      </c>
    </row>
    <row r="2267" spans="1:6">
      <c r="A2267" s="143">
        <v>31027</v>
      </c>
      <c r="B2267" t="s">
        <v>1033</v>
      </c>
      <c r="C2267" t="s">
        <v>3478</v>
      </c>
      <c r="D2267" s="45" t="s">
        <v>4722</v>
      </c>
      <c r="E2267">
        <v>515</v>
      </c>
      <c r="F2267" s="765">
        <v>14460.64</v>
      </c>
    </row>
    <row r="2268" spans="1:6">
      <c r="A2268" s="143">
        <v>11604</v>
      </c>
      <c r="B2268" t="s">
        <v>3477</v>
      </c>
      <c r="C2268" t="s">
        <v>3478</v>
      </c>
      <c r="D2268" s="45" t="s">
        <v>4094</v>
      </c>
      <c r="E2268">
        <v>535</v>
      </c>
      <c r="F2268" s="765">
        <v>3283.94</v>
      </c>
    </row>
    <row r="2269" spans="1:6">
      <c r="A2269" s="143">
        <v>11604</v>
      </c>
      <c r="B2269" t="s">
        <v>3477</v>
      </c>
      <c r="C2269" t="s">
        <v>3478</v>
      </c>
      <c r="D2269" s="45" t="s">
        <v>4095</v>
      </c>
      <c r="E2269">
        <v>535</v>
      </c>
      <c r="F2269" s="765">
        <v>2168.16</v>
      </c>
    </row>
    <row r="2270" spans="1:6">
      <c r="A2270" s="143">
        <v>11749</v>
      </c>
      <c r="B2270" t="s">
        <v>3573</v>
      </c>
      <c r="C2270" t="s">
        <v>3574</v>
      </c>
      <c r="D2270" s="45" t="s">
        <v>4096</v>
      </c>
      <c r="E2270">
        <v>535</v>
      </c>
      <c r="F2270" s="765">
        <v>31.7</v>
      </c>
    </row>
    <row r="2271" spans="1:6">
      <c r="A2271" s="143">
        <v>11749</v>
      </c>
      <c r="B2271" t="s">
        <v>3573</v>
      </c>
      <c r="C2271" t="s">
        <v>3574</v>
      </c>
      <c r="D2271" s="45" t="s">
        <v>4097</v>
      </c>
      <c r="E2271">
        <v>535</v>
      </c>
      <c r="F2271" s="765">
        <v>1135.8399999999999</v>
      </c>
    </row>
    <row r="2272" spans="1:6">
      <c r="A2272" s="143">
        <v>11749</v>
      </c>
      <c r="B2272" t="s">
        <v>3573</v>
      </c>
      <c r="C2272" t="s">
        <v>3574</v>
      </c>
      <c r="D2272" s="45" t="s">
        <v>4098</v>
      </c>
      <c r="E2272">
        <v>535</v>
      </c>
      <c r="F2272" s="765">
        <v>659.03</v>
      </c>
    </row>
    <row r="2273" spans="1:6">
      <c r="A2273" s="143">
        <v>11971</v>
      </c>
      <c r="B2273" t="s">
        <v>4028</v>
      </c>
      <c r="C2273" t="s">
        <v>4034</v>
      </c>
      <c r="D2273" s="45" t="s">
        <v>4099</v>
      </c>
      <c r="E2273">
        <v>535</v>
      </c>
      <c r="F2273" s="765">
        <v>79.180000000000007</v>
      </c>
    </row>
    <row r="2274" spans="1:6">
      <c r="A2274" s="143">
        <v>11988</v>
      </c>
      <c r="B2274" t="s">
        <v>3144</v>
      </c>
      <c r="C2274" t="s">
        <v>3533</v>
      </c>
      <c r="D2274" s="45" t="s">
        <v>4100</v>
      </c>
      <c r="E2274">
        <v>535</v>
      </c>
      <c r="F2274" s="765">
        <v>479.06</v>
      </c>
    </row>
    <row r="2275" spans="1:6">
      <c r="A2275" s="143">
        <v>11993</v>
      </c>
      <c r="B2275" t="s">
        <v>3157</v>
      </c>
      <c r="C2275" t="s">
        <v>3454</v>
      </c>
      <c r="D2275" s="45" t="s">
        <v>4101</v>
      </c>
      <c r="E2275">
        <v>535</v>
      </c>
      <c r="F2275" s="765">
        <v>52.79</v>
      </c>
    </row>
    <row r="2276" spans="1:6">
      <c r="A2276" s="143">
        <v>11993</v>
      </c>
      <c r="B2276" t="s">
        <v>3157</v>
      </c>
      <c r="C2276" t="s">
        <v>3454</v>
      </c>
      <c r="D2276" s="45" t="s">
        <v>4102</v>
      </c>
      <c r="E2276">
        <v>535</v>
      </c>
      <c r="F2276" s="765">
        <v>52.79</v>
      </c>
    </row>
    <row r="2277" spans="1:6">
      <c r="A2277" s="143">
        <v>31027</v>
      </c>
      <c r="B2277" t="s">
        <v>1033</v>
      </c>
      <c r="C2277" t="s">
        <v>3478</v>
      </c>
      <c r="D2277" s="45" t="s">
        <v>4103</v>
      </c>
      <c r="E2277">
        <v>535</v>
      </c>
      <c r="F2277" s="765">
        <v>11776.88</v>
      </c>
    </row>
    <row r="2278" spans="1:6">
      <c r="A2278" s="143">
        <v>31027</v>
      </c>
      <c r="B2278" t="s">
        <v>1033</v>
      </c>
      <c r="C2278" t="s">
        <v>3478</v>
      </c>
      <c r="D2278" s="45" t="s">
        <v>4104</v>
      </c>
      <c r="E2278">
        <v>535</v>
      </c>
      <c r="F2278" s="765">
        <v>5098.41</v>
      </c>
    </row>
    <row r="2279" spans="1:6">
      <c r="A2279" s="143">
        <v>11023</v>
      </c>
      <c r="B2279" t="s">
        <v>3371</v>
      </c>
      <c r="C2279" t="s">
        <v>3465</v>
      </c>
      <c r="D2279" s="45" t="s">
        <v>4105</v>
      </c>
      <c r="E2279">
        <v>543</v>
      </c>
      <c r="F2279" s="765">
        <v>17.399999999999999</v>
      </c>
    </row>
    <row r="2280" spans="1:6">
      <c r="A2280" s="143">
        <v>11867</v>
      </c>
      <c r="B2280" t="s">
        <v>1198</v>
      </c>
      <c r="C2280" t="s">
        <v>3465</v>
      </c>
      <c r="D2280" s="45" t="s">
        <v>4106</v>
      </c>
      <c r="E2280">
        <v>543</v>
      </c>
      <c r="F2280" s="765">
        <v>2790.75</v>
      </c>
    </row>
    <row r="2281" spans="1:6">
      <c r="A2281" s="143">
        <v>11928</v>
      </c>
      <c r="B2281" t="s">
        <v>1801</v>
      </c>
      <c r="C2281" t="s">
        <v>4107</v>
      </c>
      <c r="D2281" s="45" t="s">
        <v>4108</v>
      </c>
      <c r="E2281">
        <v>543</v>
      </c>
      <c r="F2281" s="765">
        <v>649.9</v>
      </c>
    </row>
    <row r="2282" spans="1:6">
      <c r="A2282" s="143">
        <v>11984</v>
      </c>
      <c r="B2282" t="s">
        <v>3268</v>
      </c>
      <c r="C2282" t="s">
        <v>3521</v>
      </c>
      <c r="D2282" s="45" t="s">
        <v>4109</v>
      </c>
      <c r="E2282">
        <v>543</v>
      </c>
      <c r="F2282" s="765">
        <v>316.74</v>
      </c>
    </row>
    <row r="2283" spans="1:6">
      <c r="A2283" s="143">
        <v>11988</v>
      </c>
      <c r="B2283" t="s">
        <v>3144</v>
      </c>
      <c r="C2283" t="s">
        <v>3533</v>
      </c>
      <c r="D2283" s="45" t="s">
        <v>4110</v>
      </c>
      <c r="E2283">
        <v>543</v>
      </c>
      <c r="F2283" s="765">
        <v>2668.35</v>
      </c>
    </row>
    <row r="2284" spans="1:6">
      <c r="A2284" s="143">
        <v>11605</v>
      </c>
      <c r="B2284" t="s">
        <v>5949</v>
      </c>
      <c r="C2284" t="s">
        <v>3515</v>
      </c>
      <c r="D2284" s="45" t="s">
        <v>4111</v>
      </c>
      <c r="E2284">
        <v>546</v>
      </c>
      <c r="F2284" s="765">
        <v>267.25</v>
      </c>
    </row>
    <row r="2285" spans="1:6">
      <c r="A2285" s="143">
        <v>11605</v>
      </c>
      <c r="B2285" t="s">
        <v>5949</v>
      </c>
      <c r="C2285" t="s">
        <v>3515</v>
      </c>
      <c r="D2285" s="45" t="s">
        <v>4112</v>
      </c>
      <c r="E2285">
        <v>546</v>
      </c>
      <c r="F2285" s="765">
        <v>155.07</v>
      </c>
    </row>
    <row r="2286" spans="1:6">
      <c r="A2286" s="143">
        <v>12002</v>
      </c>
      <c r="B2286" t="s">
        <v>3460</v>
      </c>
      <c r="C2286" t="s">
        <v>3461</v>
      </c>
      <c r="D2286" s="45" t="s">
        <v>4113</v>
      </c>
      <c r="E2286">
        <v>546</v>
      </c>
      <c r="F2286" s="765">
        <v>4301.82</v>
      </c>
    </row>
    <row r="2287" spans="1:6">
      <c r="A2287" s="143">
        <v>11604</v>
      </c>
      <c r="B2287" t="s">
        <v>3477</v>
      </c>
      <c r="C2287" t="s">
        <v>3478</v>
      </c>
      <c r="D2287" s="45" t="s">
        <v>4114</v>
      </c>
      <c r="E2287">
        <v>547</v>
      </c>
      <c r="F2287" s="765">
        <v>2006.97</v>
      </c>
    </row>
    <row r="2288" spans="1:6">
      <c r="A2288" s="143">
        <v>11975</v>
      </c>
      <c r="B2288" t="s">
        <v>3134</v>
      </c>
      <c r="C2288" t="s">
        <v>3491</v>
      </c>
      <c r="D2288" s="45" t="s">
        <v>4115</v>
      </c>
      <c r="E2288">
        <v>547</v>
      </c>
      <c r="F2288" s="765">
        <v>79.180000000000007</v>
      </c>
    </row>
    <row r="2289" spans="1:6">
      <c r="A2289" s="143">
        <v>11173</v>
      </c>
      <c r="B2289" t="s">
        <v>3379</v>
      </c>
      <c r="C2289" t="s">
        <v>3468</v>
      </c>
      <c r="D2289" s="45" t="s">
        <v>4116</v>
      </c>
      <c r="E2289">
        <v>548</v>
      </c>
      <c r="F2289" s="765">
        <v>272.69</v>
      </c>
    </row>
    <row r="2290" spans="1:6">
      <c r="A2290" s="143">
        <v>11811</v>
      </c>
      <c r="B2290" t="s">
        <v>3403</v>
      </c>
      <c r="C2290" t="s">
        <v>3929</v>
      </c>
      <c r="D2290" s="45" t="s">
        <v>4117</v>
      </c>
      <c r="E2290">
        <v>548</v>
      </c>
      <c r="F2290" s="765">
        <v>7218.52</v>
      </c>
    </row>
    <row r="2291" spans="1:6">
      <c r="A2291" s="143">
        <v>11604</v>
      </c>
      <c r="B2291" t="s">
        <v>3477</v>
      </c>
      <c r="C2291" t="s">
        <v>3478</v>
      </c>
      <c r="D2291" s="45" t="s">
        <v>4072</v>
      </c>
      <c r="E2291">
        <v>556</v>
      </c>
      <c r="F2291" s="765">
        <v>1599.32</v>
      </c>
    </row>
    <row r="2292" spans="1:6">
      <c r="A2292" s="143">
        <v>11867</v>
      </c>
      <c r="B2292" t="s">
        <v>1198</v>
      </c>
      <c r="C2292" t="s">
        <v>3465</v>
      </c>
      <c r="D2292" s="45" t="s">
        <v>4073</v>
      </c>
      <c r="E2292">
        <v>564</v>
      </c>
      <c r="F2292" s="765">
        <v>2811.9</v>
      </c>
    </row>
    <row r="2293" spans="1:6">
      <c r="A2293" s="143">
        <v>11867</v>
      </c>
      <c r="B2293" t="s">
        <v>1198</v>
      </c>
      <c r="C2293" t="s">
        <v>3465</v>
      </c>
      <c r="D2293" s="45" t="s">
        <v>4074</v>
      </c>
      <c r="E2293">
        <v>564</v>
      </c>
      <c r="F2293" s="765">
        <v>4220.96</v>
      </c>
    </row>
    <row r="2294" spans="1:6">
      <c r="A2294" s="143">
        <v>11749</v>
      </c>
      <c r="B2294" t="s">
        <v>3573</v>
      </c>
      <c r="C2294" t="s">
        <v>3574</v>
      </c>
      <c r="D2294" s="45" t="s">
        <v>4075</v>
      </c>
      <c r="E2294">
        <v>575</v>
      </c>
      <c r="F2294" s="765">
        <v>12.83</v>
      </c>
    </row>
    <row r="2295" spans="1:6">
      <c r="A2295" s="143">
        <v>11749</v>
      </c>
      <c r="B2295" t="s">
        <v>3573</v>
      </c>
      <c r="C2295" t="s">
        <v>3574</v>
      </c>
      <c r="D2295" s="45" t="s">
        <v>4076</v>
      </c>
      <c r="E2295">
        <v>575</v>
      </c>
      <c r="F2295" s="765">
        <v>659.03</v>
      </c>
    </row>
    <row r="2296" spans="1:6">
      <c r="A2296" s="143">
        <v>11971</v>
      </c>
      <c r="B2296" t="s">
        <v>4028</v>
      </c>
      <c r="C2296" t="s">
        <v>4034</v>
      </c>
      <c r="D2296" s="45" t="s">
        <v>4077</v>
      </c>
      <c r="E2296">
        <v>575</v>
      </c>
      <c r="F2296" s="765">
        <v>79.180000000000007</v>
      </c>
    </row>
    <row r="2297" spans="1:6">
      <c r="A2297" s="143">
        <v>11984</v>
      </c>
      <c r="B2297" t="s">
        <v>3268</v>
      </c>
      <c r="C2297" t="s">
        <v>3521</v>
      </c>
      <c r="D2297" s="45" t="s">
        <v>4078</v>
      </c>
      <c r="E2297">
        <v>575</v>
      </c>
      <c r="F2297" s="765">
        <v>316.74</v>
      </c>
    </row>
    <row r="2298" spans="1:6">
      <c r="A2298" s="143">
        <v>12002</v>
      </c>
      <c r="B2298" t="s">
        <v>3460</v>
      </c>
      <c r="C2298" t="s">
        <v>3461</v>
      </c>
      <c r="D2298" s="45" t="s">
        <v>4079</v>
      </c>
      <c r="E2298">
        <v>576</v>
      </c>
      <c r="F2298" s="765">
        <v>4301.82</v>
      </c>
    </row>
    <row r="2299" spans="1:6">
      <c r="A2299" s="143">
        <v>31031</v>
      </c>
      <c r="B2299" t="s">
        <v>3425</v>
      </c>
      <c r="C2299" t="s">
        <v>3499</v>
      </c>
      <c r="D2299" s="45" t="s">
        <v>4080</v>
      </c>
      <c r="E2299">
        <v>576</v>
      </c>
      <c r="F2299" s="765">
        <v>18869.71</v>
      </c>
    </row>
    <row r="2300" spans="1:6">
      <c r="A2300" s="143">
        <v>11439</v>
      </c>
      <c r="B2300" t="s">
        <v>1022</v>
      </c>
      <c r="C2300" t="s">
        <v>3472</v>
      </c>
      <c r="D2300" s="45" t="s">
        <v>4081</v>
      </c>
      <c r="E2300">
        <v>577</v>
      </c>
      <c r="F2300" s="765">
        <v>4080.68</v>
      </c>
    </row>
    <row r="2301" spans="1:6">
      <c r="A2301" s="143">
        <v>11007</v>
      </c>
      <c r="B2301" t="s">
        <v>3463</v>
      </c>
      <c r="C2301" t="s">
        <v>3464</v>
      </c>
      <c r="D2301" s="45" t="s">
        <v>4082</v>
      </c>
      <c r="E2301">
        <v>578</v>
      </c>
      <c r="F2301" s="765">
        <v>881.38</v>
      </c>
    </row>
    <row r="2302" spans="1:6">
      <c r="A2302" s="143">
        <v>11023</v>
      </c>
      <c r="B2302" t="s">
        <v>3371</v>
      </c>
      <c r="C2302" t="s">
        <v>3465</v>
      </c>
      <c r="D2302" s="45" t="s">
        <v>4083</v>
      </c>
      <c r="E2302">
        <v>578</v>
      </c>
      <c r="F2302" s="765">
        <v>17.399999999999999</v>
      </c>
    </row>
    <row r="2303" spans="1:6">
      <c r="A2303" s="143">
        <v>11173</v>
      </c>
      <c r="B2303" t="s">
        <v>3379</v>
      </c>
      <c r="C2303" t="s">
        <v>3468</v>
      </c>
      <c r="D2303" s="45" t="s">
        <v>4084</v>
      </c>
      <c r="E2303">
        <v>578</v>
      </c>
      <c r="F2303" s="765">
        <v>225.13</v>
      </c>
    </row>
    <row r="2304" spans="1:6">
      <c r="A2304" s="143">
        <v>11811</v>
      </c>
      <c r="B2304" t="s">
        <v>3403</v>
      </c>
      <c r="C2304" t="s">
        <v>3929</v>
      </c>
      <c r="D2304" s="45" t="s">
        <v>4085</v>
      </c>
      <c r="E2304">
        <v>578</v>
      </c>
      <c r="F2304" s="765">
        <v>5391.97</v>
      </c>
    </row>
    <row r="2305" spans="1:6">
      <c r="A2305" s="143">
        <v>11836</v>
      </c>
      <c r="B2305" t="s">
        <v>2878</v>
      </c>
      <c r="C2305" t="s">
        <v>3488</v>
      </c>
      <c r="D2305" s="45" t="s">
        <v>4086</v>
      </c>
      <c r="E2305">
        <v>578</v>
      </c>
      <c r="F2305" s="765">
        <v>415.21</v>
      </c>
    </row>
    <row r="2306" spans="1:6">
      <c r="A2306" s="143">
        <v>11855</v>
      </c>
      <c r="B2306" t="s">
        <v>3726</v>
      </c>
      <c r="C2306" t="s">
        <v>3727</v>
      </c>
      <c r="D2306" s="45" t="s">
        <v>4087</v>
      </c>
      <c r="E2306">
        <v>578</v>
      </c>
      <c r="F2306" s="765">
        <v>15.85</v>
      </c>
    </row>
    <row r="2307" spans="1:6">
      <c r="A2307" s="143">
        <v>11975</v>
      </c>
      <c r="B2307" t="s">
        <v>3134</v>
      </c>
      <c r="C2307" t="s">
        <v>3491</v>
      </c>
      <c r="D2307" s="45" t="s">
        <v>4088</v>
      </c>
      <c r="E2307">
        <v>578</v>
      </c>
      <c r="F2307" s="765">
        <v>79.180000000000007</v>
      </c>
    </row>
    <row r="2308" spans="1:6">
      <c r="A2308" s="143">
        <v>11971</v>
      </c>
      <c r="B2308" t="s">
        <v>4028</v>
      </c>
      <c r="C2308" t="s">
        <v>4034</v>
      </c>
      <c r="D2308" s="45" t="s">
        <v>4055</v>
      </c>
      <c r="E2308">
        <v>590</v>
      </c>
      <c r="F2308" s="765">
        <v>79.180000000000007</v>
      </c>
    </row>
    <row r="2309" spans="1:6">
      <c r="A2309" s="143">
        <v>11984</v>
      </c>
      <c r="B2309" t="s">
        <v>3268</v>
      </c>
      <c r="C2309" t="s">
        <v>3521</v>
      </c>
      <c r="D2309" s="45" t="s">
        <v>4056</v>
      </c>
      <c r="E2309">
        <v>590</v>
      </c>
      <c r="F2309" s="765">
        <v>316.74</v>
      </c>
    </row>
    <row r="2310" spans="1:6">
      <c r="A2310" s="143">
        <v>11023</v>
      </c>
      <c r="B2310" t="s">
        <v>3371</v>
      </c>
      <c r="C2310" t="s">
        <v>3465</v>
      </c>
      <c r="D2310" s="45" t="s">
        <v>4057</v>
      </c>
      <c r="E2310">
        <v>591</v>
      </c>
      <c r="F2310" s="765">
        <v>17.399999999999999</v>
      </c>
    </row>
    <row r="2311" spans="1:6">
      <c r="A2311" s="143">
        <v>11007</v>
      </c>
      <c r="B2311" t="s">
        <v>3463</v>
      </c>
      <c r="C2311" t="s">
        <v>3464</v>
      </c>
      <c r="D2311" s="45" t="s">
        <v>4058</v>
      </c>
      <c r="E2311">
        <v>595</v>
      </c>
      <c r="F2311" s="765">
        <v>1215.44</v>
      </c>
    </row>
    <row r="2312" spans="1:6">
      <c r="A2312" s="143">
        <v>11007</v>
      </c>
      <c r="B2312" t="s">
        <v>3463</v>
      </c>
      <c r="C2312" t="s">
        <v>3464</v>
      </c>
      <c r="D2312" s="45" t="s">
        <v>4059</v>
      </c>
      <c r="E2312">
        <v>595</v>
      </c>
      <c r="F2312" s="765">
        <v>774.18</v>
      </c>
    </row>
    <row r="2313" spans="1:6">
      <c r="A2313" s="143">
        <v>11007</v>
      </c>
      <c r="B2313" t="s">
        <v>3463</v>
      </c>
      <c r="C2313" t="s">
        <v>3464</v>
      </c>
      <c r="D2313" s="45" t="s">
        <v>4060</v>
      </c>
      <c r="E2313">
        <v>595</v>
      </c>
      <c r="F2313" s="765">
        <v>1101.06</v>
      </c>
    </row>
    <row r="2314" spans="1:6">
      <c r="A2314" s="143">
        <v>11988</v>
      </c>
      <c r="B2314" t="s">
        <v>3144</v>
      </c>
      <c r="C2314" t="s">
        <v>3533</v>
      </c>
      <c r="D2314" s="45" t="s">
        <v>4061</v>
      </c>
      <c r="E2314">
        <v>599</v>
      </c>
      <c r="F2314" s="765">
        <v>592.29999999999995</v>
      </c>
    </row>
    <row r="2315" spans="1:6">
      <c r="A2315" s="143">
        <v>11993</v>
      </c>
      <c r="B2315" t="s">
        <v>3157</v>
      </c>
      <c r="C2315" t="s">
        <v>3454</v>
      </c>
      <c r="D2315" s="45" t="s">
        <v>4062</v>
      </c>
      <c r="E2315">
        <v>599</v>
      </c>
      <c r="F2315" s="765">
        <v>90.54</v>
      </c>
    </row>
    <row r="2316" spans="1:6">
      <c r="A2316" s="143">
        <v>11173</v>
      </c>
      <c r="B2316" t="s">
        <v>3379</v>
      </c>
      <c r="C2316" t="s">
        <v>3468</v>
      </c>
      <c r="D2316" s="45" t="s">
        <v>4063</v>
      </c>
      <c r="E2316">
        <v>602</v>
      </c>
      <c r="F2316" s="765">
        <v>565.6</v>
      </c>
    </row>
    <row r="2317" spans="1:6">
      <c r="A2317" s="143">
        <v>11439</v>
      </c>
      <c r="B2317" t="s">
        <v>1022</v>
      </c>
      <c r="C2317" t="s">
        <v>3472</v>
      </c>
      <c r="D2317" s="45" t="s">
        <v>4064</v>
      </c>
      <c r="E2317">
        <v>602</v>
      </c>
      <c r="F2317" s="765">
        <v>1908.37</v>
      </c>
    </row>
    <row r="2318" spans="1:6">
      <c r="A2318" s="143">
        <v>31030</v>
      </c>
      <c r="B2318" t="s">
        <v>3424</v>
      </c>
      <c r="C2318" t="s">
        <v>3498</v>
      </c>
      <c r="D2318" s="45" t="s">
        <v>4065</v>
      </c>
      <c r="E2318">
        <v>602</v>
      </c>
      <c r="F2318" s="765">
        <v>4570.08</v>
      </c>
    </row>
    <row r="2319" spans="1:6">
      <c r="A2319" s="143">
        <v>12002</v>
      </c>
      <c r="B2319" t="s">
        <v>3460</v>
      </c>
      <c r="C2319" t="s">
        <v>3461</v>
      </c>
      <c r="D2319" s="45" t="s">
        <v>4066</v>
      </c>
      <c r="E2319">
        <v>603</v>
      </c>
      <c r="F2319" s="765">
        <v>4301.82</v>
      </c>
    </row>
    <row r="2320" spans="1:6">
      <c r="A2320" s="143">
        <v>12002</v>
      </c>
      <c r="B2320" t="s">
        <v>3460</v>
      </c>
      <c r="C2320" t="s">
        <v>3461</v>
      </c>
      <c r="D2320" s="45" t="s">
        <v>4067</v>
      </c>
      <c r="E2320">
        <v>603</v>
      </c>
      <c r="F2320" s="765">
        <v>4301.82</v>
      </c>
    </row>
    <row r="2321" spans="1:6">
      <c r="A2321" s="143">
        <v>31031</v>
      </c>
      <c r="B2321" t="s">
        <v>3425</v>
      </c>
      <c r="C2321" t="s">
        <v>3499</v>
      </c>
      <c r="D2321" s="45" t="s">
        <v>4068</v>
      </c>
      <c r="E2321">
        <v>603</v>
      </c>
      <c r="F2321" s="765">
        <v>18831.2</v>
      </c>
    </row>
    <row r="2322" spans="1:6">
      <c r="A2322" s="143">
        <v>11946</v>
      </c>
      <c r="B2322" t="s">
        <v>3412</v>
      </c>
      <c r="C2322" t="s">
        <v>3490</v>
      </c>
      <c r="D2322" s="45" t="s">
        <v>4030</v>
      </c>
      <c r="E2322">
        <v>612</v>
      </c>
      <c r="F2322" s="765">
        <v>9559.5499999999993</v>
      </c>
    </row>
    <row r="2323" spans="1:6">
      <c r="A2323" s="143">
        <v>31030</v>
      </c>
      <c r="B2323" t="s">
        <v>3424</v>
      </c>
      <c r="C2323" t="s">
        <v>3498</v>
      </c>
      <c r="D2323" s="45" t="s">
        <v>4032</v>
      </c>
      <c r="E2323">
        <v>612</v>
      </c>
      <c r="F2323" s="765">
        <v>5362</v>
      </c>
    </row>
    <row r="2324" spans="1:6">
      <c r="A2324" s="143">
        <v>11867</v>
      </c>
      <c r="B2324" t="s">
        <v>1198</v>
      </c>
      <c r="C2324" t="s">
        <v>3465</v>
      </c>
      <c r="D2324" s="45" t="s">
        <v>4033</v>
      </c>
      <c r="E2324">
        <v>613</v>
      </c>
      <c r="F2324" s="765">
        <v>4298.34</v>
      </c>
    </row>
    <row r="2325" spans="1:6">
      <c r="A2325" s="143">
        <v>11971</v>
      </c>
      <c r="B2325" t="s">
        <v>4028</v>
      </c>
      <c r="C2325" t="s">
        <v>4034</v>
      </c>
      <c r="D2325" s="45" t="s">
        <v>4035</v>
      </c>
      <c r="E2325">
        <v>613</v>
      </c>
      <c r="F2325" s="765">
        <v>79.180000000000007</v>
      </c>
    </row>
    <row r="2326" spans="1:6">
      <c r="A2326" s="143">
        <v>11984</v>
      </c>
      <c r="B2326" t="s">
        <v>3268</v>
      </c>
      <c r="C2326" t="s">
        <v>3521</v>
      </c>
      <c r="D2326" s="45" t="s">
        <v>4037</v>
      </c>
      <c r="E2326">
        <v>613</v>
      </c>
      <c r="F2326" s="765">
        <v>316.74</v>
      </c>
    </row>
    <row r="2327" spans="1:6">
      <c r="A2327" s="143">
        <v>11984</v>
      </c>
      <c r="B2327" t="s">
        <v>3268</v>
      </c>
      <c r="C2327" t="s">
        <v>3521</v>
      </c>
      <c r="D2327" s="45" t="s">
        <v>4036</v>
      </c>
      <c r="E2327">
        <v>613</v>
      </c>
      <c r="F2327" s="765">
        <v>316.74</v>
      </c>
    </row>
    <row r="2328" spans="1:6">
      <c r="A2328" s="143">
        <v>11993</v>
      </c>
      <c r="B2328" t="s">
        <v>3157</v>
      </c>
      <c r="C2328" t="s">
        <v>3454</v>
      </c>
      <c r="D2328" s="45" t="s">
        <v>4038</v>
      </c>
      <c r="E2328">
        <v>613</v>
      </c>
      <c r="F2328" s="765">
        <v>3223.49</v>
      </c>
    </row>
    <row r="2329" spans="1:6">
      <c r="A2329" s="143">
        <v>11173</v>
      </c>
      <c r="B2329" t="s">
        <v>3379</v>
      </c>
      <c r="C2329" t="s">
        <v>3468</v>
      </c>
      <c r="D2329" s="45" t="s">
        <v>4039</v>
      </c>
      <c r="E2329">
        <v>617</v>
      </c>
      <c r="F2329" s="765">
        <v>230.79</v>
      </c>
    </row>
    <row r="2330" spans="1:6">
      <c r="A2330" s="143">
        <v>11988</v>
      </c>
      <c r="B2330" t="s">
        <v>3144</v>
      </c>
      <c r="C2330" t="s">
        <v>3533</v>
      </c>
      <c r="D2330" s="45" t="s">
        <v>4040</v>
      </c>
      <c r="E2330">
        <v>617</v>
      </c>
      <c r="F2330" s="765">
        <v>743.29</v>
      </c>
    </row>
    <row r="2331" spans="1:6">
      <c r="A2331" s="143">
        <v>11605</v>
      </c>
      <c r="B2331" t="s">
        <v>5949</v>
      </c>
      <c r="C2331" t="s">
        <v>3515</v>
      </c>
      <c r="D2331" s="45" t="s">
        <v>4041</v>
      </c>
      <c r="E2331">
        <v>619</v>
      </c>
      <c r="F2331" s="765">
        <v>2138.33</v>
      </c>
    </row>
    <row r="2332" spans="1:6">
      <c r="A2332" s="143">
        <v>11811</v>
      </c>
      <c r="B2332" t="s">
        <v>3403</v>
      </c>
      <c r="C2332" t="s">
        <v>3929</v>
      </c>
      <c r="D2332" s="45" t="s">
        <v>4042</v>
      </c>
      <c r="E2332">
        <v>625</v>
      </c>
      <c r="F2332" s="765">
        <v>5569</v>
      </c>
    </row>
    <row r="2333" spans="1:6">
      <c r="A2333" s="143">
        <v>11439</v>
      </c>
      <c r="B2333" t="s">
        <v>1022</v>
      </c>
      <c r="C2333" t="s">
        <v>3472</v>
      </c>
      <c r="D2333" s="45" t="s">
        <v>4043</v>
      </c>
      <c r="E2333">
        <v>634</v>
      </c>
      <c r="F2333" s="765">
        <v>3154.01</v>
      </c>
    </row>
    <row r="2334" spans="1:6">
      <c r="A2334" s="143">
        <v>11023</v>
      </c>
      <c r="B2334" t="s">
        <v>3371</v>
      </c>
      <c r="C2334" t="s">
        <v>3465</v>
      </c>
      <c r="D2334" s="45" t="s">
        <v>4044</v>
      </c>
      <c r="E2334">
        <v>639</v>
      </c>
      <c r="F2334" s="765">
        <v>7153.03</v>
      </c>
    </row>
    <row r="2335" spans="1:6">
      <c r="A2335" s="143">
        <v>11023</v>
      </c>
      <c r="B2335" t="s">
        <v>3371</v>
      </c>
      <c r="C2335" t="s">
        <v>3465</v>
      </c>
      <c r="D2335" s="45" t="s">
        <v>4045</v>
      </c>
      <c r="E2335">
        <v>639</v>
      </c>
      <c r="F2335" s="765">
        <v>5278.99</v>
      </c>
    </row>
    <row r="2336" spans="1:6">
      <c r="A2336" s="143">
        <v>11944</v>
      </c>
      <c r="B2336" t="s">
        <v>3411</v>
      </c>
      <c r="C2336" t="s">
        <v>3439</v>
      </c>
      <c r="D2336" s="45" t="s">
        <v>3440</v>
      </c>
      <c r="E2336">
        <v>652</v>
      </c>
      <c r="F2336" s="765">
        <v>433.94</v>
      </c>
    </row>
    <row r="2337" spans="1:6">
      <c r="A2337" s="143">
        <v>11944</v>
      </c>
      <c r="B2337" t="s">
        <v>3411</v>
      </c>
      <c r="C2337" t="s">
        <v>3439</v>
      </c>
      <c r="D2337" s="45" t="s">
        <v>3447</v>
      </c>
      <c r="E2337">
        <v>659</v>
      </c>
      <c r="F2337" s="765">
        <v>2375.5500000000002</v>
      </c>
    </row>
    <row r="2338" spans="1:6">
      <c r="A2338" s="143">
        <v>11944</v>
      </c>
      <c r="B2338" t="s">
        <v>3411</v>
      </c>
      <c r="C2338" t="s">
        <v>3439</v>
      </c>
      <c r="D2338" s="45" t="s">
        <v>3448</v>
      </c>
      <c r="E2338">
        <v>659</v>
      </c>
      <c r="F2338" s="765">
        <v>2375.5500000000002</v>
      </c>
    </row>
    <row r="2339" spans="1:6">
      <c r="A2339" s="143">
        <v>11993</v>
      </c>
      <c r="B2339" t="s">
        <v>3157</v>
      </c>
      <c r="C2339" t="s">
        <v>3454</v>
      </c>
      <c r="D2339" s="45" t="s">
        <v>3455</v>
      </c>
      <c r="E2339">
        <v>661</v>
      </c>
      <c r="F2339" s="765">
        <v>3185.74</v>
      </c>
    </row>
    <row r="2340" spans="1:6">
      <c r="A2340" s="143">
        <v>12002</v>
      </c>
      <c r="B2340" t="s">
        <v>3460</v>
      </c>
      <c r="C2340" t="s">
        <v>3461</v>
      </c>
      <c r="D2340" s="45" t="s">
        <v>3462</v>
      </c>
      <c r="E2340">
        <v>666</v>
      </c>
      <c r="F2340" s="765">
        <v>4301.82</v>
      </c>
    </row>
    <row r="2341" spans="1:6">
      <c r="A2341" s="143">
        <v>11173</v>
      </c>
      <c r="B2341" t="s">
        <v>3379</v>
      </c>
      <c r="C2341" t="s">
        <v>3468</v>
      </c>
      <c r="D2341" s="45" t="s">
        <v>3469</v>
      </c>
      <c r="E2341">
        <v>668</v>
      </c>
      <c r="F2341" s="765">
        <v>223.99</v>
      </c>
    </row>
    <row r="2342" spans="1:6">
      <c r="A2342" s="143">
        <v>11439</v>
      </c>
      <c r="B2342" t="s">
        <v>1022</v>
      </c>
      <c r="C2342" t="s">
        <v>3472</v>
      </c>
      <c r="D2342" s="45" t="s">
        <v>3473</v>
      </c>
      <c r="E2342">
        <v>668</v>
      </c>
      <c r="F2342" s="765">
        <v>3380.48</v>
      </c>
    </row>
    <row r="2343" spans="1:6">
      <c r="A2343" s="143">
        <v>11604</v>
      </c>
      <c r="B2343" t="s">
        <v>3477</v>
      </c>
      <c r="C2343" t="s">
        <v>3478</v>
      </c>
      <c r="D2343" s="45" t="s">
        <v>3479</v>
      </c>
      <c r="E2343">
        <v>668</v>
      </c>
      <c r="F2343" s="765">
        <v>4405.92</v>
      </c>
    </row>
    <row r="2344" spans="1:6">
      <c r="A2344" s="143">
        <v>11806</v>
      </c>
      <c r="B2344" t="s">
        <v>3401</v>
      </c>
      <c r="C2344" t="s">
        <v>3483</v>
      </c>
      <c r="D2344" s="45" t="s">
        <v>3484</v>
      </c>
      <c r="E2344">
        <v>668</v>
      </c>
      <c r="F2344" s="765">
        <v>392.51</v>
      </c>
    </row>
    <row r="2345" spans="1:6">
      <c r="A2345" s="143">
        <v>11822</v>
      </c>
      <c r="B2345" t="s">
        <v>3406</v>
      </c>
      <c r="C2345" t="s">
        <v>3486</v>
      </c>
      <c r="D2345" s="45" t="s">
        <v>3487</v>
      </c>
      <c r="E2345">
        <v>668</v>
      </c>
      <c r="F2345" s="765">
        <v>154.66999999999999</v>
      </c>
    </row>
    <row r="2346" spans="1:6">
      <c r="A2346" s="143">
        <v>12009</v>
      </c>
      <c r="B2346" t="s">
        <v>3492</v>
      </c>
      <c r="C2346" t="s">
        <v>3493</v>
      </c>
      <c r="D2346" s="45" t="s">
        <v>3494</v>
      </c>
      <c r="E2346">
        <v>668</v>
      </c>
      <c r="F2346" s="765">
        <v>528.17999999999995</v>
      </c>
    </row>
    <row r="2347" spans="1:6">
      <c r="A2347" s="143">
        <v>31027</v>
      </c>
      <c r="B2347" t="s">
        <v>1033</v>
      </c>
      <c r="C2347" t="s">
        <v>3478</v>
      </c>
      <c r="D2347" s="45" t="s">
        <v>3496</v>
      </c>
      <c r="E2347">
        <v>668</v>
      </c>
      <c r="F2347" s="765">
        <v>1632.26</v>
      </c>
    </row>
    <row r="2348" spans="1:6">
      <c r="A2348" s="143">
        <v>31027</v>
      </c>
      <c r="B2348" t="s">
        <v>1033</v>
      </c>
      <c r="C2348" t="s">
        <v>3478</v>
      </c>
      <c r="D2348" s="45" t="s">
        <v>3497</v>
      </c>
      <c r="E2348">
        <v>668</v>
      </c>
      <c r="F2348" s="765">
        <v>1149.46</v>
      </c>
    </row>
    <row r="2349" spans="1:6">
      <c r="A2349" s="143">
        <v>31031</v>
      </c>
      <c r="B2349" t="s">
        <v>3425</v>
      </c>
      <c r="C2349" t="s">
        <v>3499</v>
      </c>
      <c r="D2349" s="45" t="s">
        <v>3500</v>
      </c>
      <c r="E2349">
        <v>668</v>
      </c>
      <c r="F2349" s="765">
        <v>17143.25</v>
      </c>
    </row>
    <row r="2350" spans="1:6">
      <c r="A2350" s="143">
        <v>11023</v>
      </c>
      <c r="B2350" t="s">
        <v>3371</v>
      </c>
      <c r="C2350" t="s">
        <v>3465</v>
      </c>
      <c r="D2350" s="45" t="s">
        <v>3502</v>
      </c>
      <c r="E2350">
        <v>669</v>
      </c>
      <c r="F2350" s="765">
        <v>370</v>
      </c>
    </row>
    <row r="2351" spans="1:6">
      <c r="A2351" s="143">
        <v>11023</v>
      </c>
      <c r="B2351" t="s">
        <v>3371</v>
      </c>
      <c r="C2351" t="s">
        <v>3465</v>
      </c>
      <c r="D2351" s="45" t="s">
        <v>3503</v>
      </c>
      <c r="E2351">
        <v>669</v>
      </c>
      <c r="F2351" s="765">
        <v>273.05</v>
      </c>
    </row>
    <row r="2352" spans="1:6">
      <c r="A2352" s="143">
        <v>11023</v>
      </c>
      <c r="B2352" t="s">
        <v>3371</v>
      </c>
      <c r="C2352" t="s">
        <v>3465</v>
      </c>
      <c r="D2352" s="45" t="s">
        <v>3504</v>
      </c>
      <c r="E2352">
        <v>669</v>
      </c>
      <c r="F2352" s="765">
        <v>839.29</v>
      </c>
    </row>
    <row r="2353" spans="1:6">
      <c r="A2353" s="143">
        <v>11984</v>
      </c>
      <c r="B2353" t="s">
        <v>3268</v>
      </c>
      <c r="C2353" t="s">
        <v>3521</v>
      </c>
      <c r="D2353" s="45" t="s">
        <v>3522</v>
      </c>
      <c r="E2353">
        <v>681</v>
      </c>
      <c r="F2353" s="765">
        <v>316.74</v>
      </c>
    </row>
    <row r="2354" spans="1:6">
      <c r="A2354" s="143">
        <v>11993</v>
      </c>
      <c r="B2354" t="s">
        <v>3157</v>
      </c>
      <c r="C2354" t="s">
        <v>3454</v>
      </c>
      <c r="D2354" s="45" t="s">
        <v>3523</v>
      </c>
      <c r="E2354">
        <v>681</v>
      </c>
      <c r="F2354" s="765">
        <v>3147.99</v>
      </c>
    </row>
    <row r="2355" spans="1:6">
      <c r="A2355" s="143">
        <v>11822</v>
      </c>
      <c r="B2355" t="s">
        <v>3406</v>
      </c>
      <c r="C2355" t="s">
        <v>3486</v>
      </c>
      <c r="D2355" s="45" t="s">
        <v>3524</v>
      </c>
      <c r="E2355">
        <v>683</v>
      </c>
      <c r="F2355" s="765">
        <v>79.180000000000007</v>
      </c>
    </row>
    <row r="2356" spans="1:6">
      <c r="A2356" s="143">
        <v>21020</v>
      </c>
      <c r="B2356" t="s">
        <v>3420</v>
      </c>
      <c r="C2356" t="s">
        <v>3525</v>
      </c>
      <c r="D2356" s="45" t="s">
        <v>3530</v>
      </c>
      <c r="E2356">
        <v>687</v>
      </c>
      <c r="F2356" s="765">
        <v>13940.95</v>
      </c>
    </row>
    <row r="2357" spans="1:6">
      <c r="A2357" s="143">
        <v>21020</v>
      </c>
      <c r="B2357" t="s">
        <v>3420</v>
      </c>
      <c r="C2357" t="s">
        <v>3525</v>
      </c>
      <c r="D2357" s="45" t="s">
        <v>3526</v>
      </c>
      <c r="E2357">
        <v>687</v>
      </c>
      <c r="F2357" s="765">
        <v>16294.12</v>
      </c>
    </row>
    <row r="2358" spans="1:6">
      <c r="A2358" s="143">
        <v>21020</v>
      </c>
      <c r="B2358" t="s">
        <v>3420</v>
      </c>
      <c r="C2358" t="s">
        <v>3525</v>
      </c>
      <c r="D2358" s="45" t="s">
        <v>3527</v>
      </c>
      <c r="E2358">
        <v>687</v>
      </c>
      <c r="F2358" s="765">
        <v>1364.44</v>
      </c>
    </row>
    <row r="2359" spans="1:6">
      <c r="A2359" s="143">
        <v>21020</v>
      </c>
      <c r="B2359" t="s">
        <v>3420</v>
      </c>
      <c r="C2359" t="s">
        <v>3525</v>
      </c>
      <c r="D2359" s="45" t="s">
        <v>3528</v>
      </c>
      <c r="E2359">
        <v>687</v>
      </c>
      <c r="F2359" s="765">
        <v>1364.44</v>
      </c>
    </row>
    <row r="2360" spans="1:6">
      <c r="A2360" s="143">
        <v>21020</v>
      </c>
      <c r="B2360" t="s">
        <v>3420</v>
      </c>
      <c r="C2360" t="s">
        <v>3525</v>
      </c>
      <c r="D2360" s="45" t="s">
        <v>3529</v>
      </c>
      <c r="E2360">
        <v>687</v>
      </c>
      <c r="F2360" s="765">
        <v>988.73</v>
      </c>
    </row>
    <row r="2361" spans="1:6">
      <c r="A2361" s="143">
        <v>11867</v>
      </c>
      <c r="B2361" t="s">
        <v>1198</v>
      </c>
      <c r="C2361" t="s">
        <v>3465</v>
      </c>
      <c r="D2361" s="45" t="s">
        <v>3532</v>
      </c>
      <c r="E2361">
        <v>695</v>
      </c>
      <c r="F2361" s="765">
        <v>4495.38</v>
      </c>
    </row>
    <row r="2362" spans="1:6">
      <c r="A2362" s="143">
        <v>11988</v>
      </c>
      <c r="B2362" t="s">
        <v>3144</v>
      </c>
      <c r="C2362" t="s">
        <v>3533</v>
      </c>
      <c r="D2362" s="45" t="s">
        <v>3534</v>
      </c>
      <c r="E2362">
        <v>695</v>
      </c>
      <c r="F2362" s="765">
        <v>1233.99</v>
      </c>
    </row>
    <row r="2363" spans="1:6">
      <c r="A2363" s="143">
        <v>31027</v>
      </c>
      <c r="B2363" t="s">
        <v>1033</v>
      </c>
      <c r="C2363" t="s">
        <v>3478</v>
      </c>
      <c r="D2363" s="45" t="s">
        <v>3535</v>
      </c>
      <c r="E2363">
        <v>695</v>
      </c>
      <c r="F2363" s="765">
        <v>1632.26</v>
      </c>
    </row>
    <row r="2364" spans="1:6">
      <c r="A2364" s="143">
        <v>31027</v>
      </c>
      <c r="B2364" t="s">
        <v>1033</v>
      </c>
      <c r="C2364" t="s">
        <v>3478</v>
      </c>
      <c r="D2364" s="45" t="s">
        <v>3536</v>
      </c>
      <c r="E2364">
        <v>695</v>
      </c>
      <c r="F2364" s="765">
        <v>1149.46</v>
      </c>
    </row>
    <row r="2365" spans="1:6">
      <c r="A2365" s="143">
        <v>31031</v>
      </c>
      <c r="B2365" t="s">
        <v>3425</v>
      </c>
      <c r="C2365" t="s">
        <v>3499</v>
      </c>
      <c r="D2365" s="45" t="s">
        <v>3537</v>
      </c>
      <c r="E2365">
        <v>695</v>
      </c>
      <c r="F2365" s="765">
        <v>16728.04</v>
      </c>
    </row>
    <row r="2366" spans="1:6">
      <c r="A2366" s="143">
        <v>11173</v>
      </c>
      <c r="B2366" t="s">
        <v>3379</v>
      </c>
      <c r="C2366" t="s">
        <v>3468</v>
      </c>
      <c r="D2366" s="45" t="s">
        <v>3538</v>
      </c>
      <c r="E2366">
        <v>696</v>
      </c>
      <c r="F2366" s="765">
        <v>221.36</v>
      </c>
    </row>
    <row r="2367" spans="1:6">
      <c r="A2367" s="143">
        <v>11439</v>
      </c>
      <c r="B2367" t="s">
        <v>1022</v>
      </c>
      <c r="C2367" t="s">
        <v>3472</v>
      </c>
      <c r="D2367" s="45" t="s">
        <v>3539</v>
      </c>
      <c r="E2367">
        <v>696</v>
      </c>
      <c r="F2367" s="765">
        <v>4210.8999999999996</v>
      </c>
    </row>
    <row r="2368" spans="1:6">
      <c r="A2368" s="143">
        <v>11604</v>
      </c>
      <c r="B2368" t="s">
        <v>3477</v>
      </c>
      <c r="C2368" t="s">
        <v>3478</v>
      </c>
      <c r="D2368" s="45" t="s">
        <v>3540</v>
      </c>
      <c r="E2368">
        <v>696</v>
      </c>
      <c r="F2368" s="765">
        <v>4254.9399999999996</v>
      </c>
    </row>
    <row r="2369" spans="1:6">
      <c r="A2369" s="143">
        <v>11867</v>
      </c>
      <c r="B2369" t="s">
        <v>1198</v>
      </c>
      <c r="C2369" t="s">
        <v>3465</v>
      </c>
      <c r="D2369" s="45" t="s">
        <v>3542</v>
      </c>
      <c r="E2369">
        <v>711</v>
      </c>
      <c r="F2369" s="765">
        <v>3637.69</v>
      </c>
    </row>
    <row r="2370" spans="1:6">
      <c r="A2370" s="143">
        <v>11957</v>
      </c>
      <c r="B2370" t="s">
        <v>3124</v>
      </c>
      <c r="C2370" t="s">
        <v>3543</v>
      </c>
      <c r="D2370" s="45" t="s">
        <v>3544</v>
      </c>
      <c r="E2370">
        <v>711</v>
      </c>
      <c r="F2370" s="765">
        <v>894.43</v>
      </c>
    </row>
    <row r="2371" spans="1:6">
      <c r="A2371" s="143">
        <v>11984</v>
      </c>
      <c r="B2371" t="s">
        <v>3268</v>
      </c>
      <c r="C2371" t="s">
        <v>3521</v>
      </c>
      <c r="D2371" s="45" t="s">
        <v>3545</v>
      </c>
      <c r="E2371">
        <v>711</v>
      </c>
      <c r="F2371" s="765">
        <v>270.44</v>
      </c>
    </row>
    <row r="2372" spans="1:6">
      <c r="A2372" s="143">
        <v>11988</v>
      </c>
      <c r="B2372" t="s">
        <v>3144</v>
      </c>
      <c r="C2372" t="s">
        <v>3533</v>
      </c>
      <c r="D2372" s="45" t="s">
        <v>3546</v>
      </c>
      <c r="E2372">
        <v>711</v>
      </c>
      <c r="F2372" s="765">
        <v>463.61</v>
      </c>
    </row>
    <row r="2373" spans="1:6">
      <c r="A2373" s="143">
        <v>11993</v>
      </c>
      <c r="B2373" t="s">
        <v>3157</v>
      </c>
      <c r="C2373" t="s">
        <v>3454</v>
      </c>
      <c r="D2373" s="45" t="s">
        <v>3547</v>
      </c>
      <c r="E2373">
        <v>711</v>
      </c>
      <c r="F2373" s="765">
        <v>45.07</v>
      </c>
    </row>
    <row r="2374" spans="1:6">
      <c r="A2374" s="143">
        <v>11475</v>
      </c>
      <c r="B2374" t="s">
        <v>3392</v>
      </c>
      <c r="C2374" t="s">
        <v>3548</v>
      </c>
      <c r="D2374" s="45" t="s">
        <v>3549</v>
      </c>
      <c r="E2374">
        <v>716</v>
      </c>
      <c r="F2374" s="765">
        <v>3718.69</v>
      </c>
    </row>
    <row r="2375" spans="1:6">
      <c r="A2375" s="143">
        <v>11699</v>
      </c>
      <c r="B2375" t="s">
        <v>3396</v>
      </c>
      <c r="C2375" t="s">
        <v>3480</v>
      </c>
      <c r="D2375" s="45" t="s">
        <v>3550</v>
      </c>
      <c r="E2375">
        <v>721</v>
      </c>
      <c r="F2375" s="765">
        <v>111.57</v>
      </c>
    </row>
    <row r="2376" spans="1:6">
      <c r="A2376" s="143">
        <v>11944</v>
      </c>
      <c r="B2376" t="s">
        <v>3411</v>
      </c>
      <c r="C2376" t="s">
        <v>3439</v>
      </c>
      <c r="D2376" s="45" t="s">
        <v>3551</v>
      </c>
      <c r="E2376">
        <v>722</v>
      </c>
      <c r="F2376" s="765">
        <v>2028.38</v>
      </c>
    </row>
    <row r="2377" spans="1:6">
      <c r="A2377" s="143">
        <v>11870</v>
      </c>
      <c r="B2377" t="s">
        <v>3552</v>
      </c>
      <c r="C2377" t="s">
        <v>3553</v>
      </c>
      <c r="D2377" s="45" t="s">
        <v>3554</v>
      </c>
      <c r="E2377">
        <v>723</v>
      </c>
      <c r="F2377" s="765">
        <v>9662.66</v>
      </c>
    </row>
    <row r="2378" spans="1:6">
      <c r="A2378" s="143">
        <v>11007</v>
      </c>
      <c r="B2378" t="s">
        <v>3463</v>
      </c>
      <c r="C2378" t="s">
        <v>3464</v>
      </c>
      <c r="D2378" s="45" t="s">
        <v>3556</v>
      </c>
      <c r="E2378">
        <v>724</v>
      </c>
      <c r="F2378" s="765">
        <v>1929.11</v>
      </c>
    </row>
    <row r="2379" spans="1:6">
      <c r="A2379" s="143">
        <v>11699</v>
      </c>
      <c r="B2379" t="s">
        <v>3396</v>
      </c>
      <c r="C2379" t="s">
        <v>3480</v>
      </c>
      <c r="D2379" s="45" t="s">
        <v>3557</v>
      </c>
      <c r="E2379">
        <v>724</v>
      </c>
      <c r="F2379" s="765">
        <v>134.94999999999999</v>
      </c>
    </row>
    <row r="2380" spans="1:6">
      <c r="A2380" s="143">
        <v>11173</v>
      </c>
      <c r="B2380" t="s">
        <v>3379</v>
      </c>
      <c r="C2380" t="s">
        <v>3468</v>
      </c>
      <c r="D2380" s="45" t="s">
        <v>3558</v>
      </c>
      <c r="E2380">
        <v>725</v>
      </c>
      <c r="F2380" s="765">
        <v>294.99</v>
      </c>
    </row>
    <row r="2381" spans="1:6">
      <c r="A2381" s="143">
        <v>11326</v>
      </c>
      <c r="B2381" t="s">
        <v>3384</v>
      </c>
      <c r="C2381" t="s">
        <v>3470</v>
      </c>
      <c r="D2381" s="45" t="s">
        <v>3559</v>
      </c>
      <c r="E2381">
        <v>725</v>
      </c>
      <c r="F2381" s="765">
        <v>2073.44</v>
      </c>
    </row>
    <row r="2382" spans="1:6">
      <c r="A2382" s="143">
        <v>11439</v>
      </c>
      <c r="B2382" t="s">
        <v>1022</v>
      </c>
      <c r="C2382" t="s">
        <v>3472</v>
      </c>
      <c r="D2382" s="45" t="s">
        <v>3560</v>
      </c>
      <c r="E2382">
        <v>725</v>
      </c>
      <c r="F2382" s="765">
        <v>3823.57</v>
      </c>
    </row>
    <row r="2383" spans="1:6">
      <c r="A2383" s="143">
        <v>11496</v>
      </c>
      <c r="B2383" t="s">
        <v>3561</v>
      </c>
      <c r="C2383" t="s">
        <v>3562</v>
      </c>
      <c r="D2383" s="45" t="s">
        <v>3563</v>
      </c>
      <c r="E2383">
        <v>725</v>
      </c>
      <c r="F2383" s="765">
        <v>1149.42</v>
      </c>
    </row>
    <row r="2384" spans="1:6">
      <c r="A2384" s="143">
        <v>11604</v>
      </c>
      <c r="B2384" t="s">
        <v>3477</v>
      </c>
      <c r="C2384" t="s">
        <v>3478</v>
      </c>
      <c r="D2384" s="45" t="s">
        <v>3564</v>
      </c>
      <c r="E2384">
        <v>725</v>
      </c>
      <c r="F2384" s="765">
        <v>12601.43</v>
      </c>
    </row>
    <row r="2385" spans="1:6">
      <c r="A2385" s="143">
        <v>11755</v>
      </c>
      <c r="B2385" t="s">
        <v>2059</v>
      </c>
      <c r="C2385" t="s">
        <v>3450</v>
      </c>
      <c r="D2385" s="45" t="s">
        <v>3565</v>
      </c>
      <c r="E2385">
        <v>725</v>
      </c>
      <c r="F2385" s="765">
        <v>295.83999999999997</v>
      </c>
    </row>
    <row r="2386" spans="1:6">
      <c r="A2386" s="143">
        <v>31027</v>
      </c>
      <c r="B2386" t="s">
        <v>1033</v>
      </c>
      <c r="C2386" t="s">
        <v>3478</v>
      </c>
      <c r="D2386" s="45" t="s">
        <v>3566</v>
      </c>
      <c r="E2386">
        <v>725</v>
      </c>
      <c r="F2386" s="765">
        <v>1149.46</v>
      </c>
    </row>
    <row r="2387" spans="1:6">
      <c r="A2387" s="143">
        <v>31031</v>
      </c>
      <c r="B2387" t="s">
        <v>3425</v>
      </c>
      <c r="C2387" t="s">
        <v>3499</v>
      </c>
      <c r="D2387" s="45" t="s">
        <v>3567</v>
      </c>
      <c r="E2387">
        <v>725</v>
      </c>
      <c r="F2387" s="765">
        <v>16477.830000000002</v>
      </c>
    </row>
    <row r="2388" spans="1:6">
      <c r="A2388" s="143">
        <v>31027</v>
      </c>
      <c r="B2388" t="s">
        <v>1033</v>
      </c>
      <c r="C2388" t="s">
        <v>3478</v>
      </c>
      <c r="D2388" s="45" t="s">
        <v>3568</v>
      </c>
      <c r="E2388">
        <v>757</v>
      </c>
      <c r="F2388" s="765">
        <v>1530.94</v>
      </c>
    </row>
    <row r="2389" spans="1:6">
      <c r="A2389" s="143">
        <v>31027</v>
      </c>
      <c r="B2389" t="s">
        <v>1033</v>
      </c>
      <c r="C2389" t="s">
        <v>3478</v>
      </c>
      <c r="D2389" s="45" t="s">
        <v>3569</v>
      </c>
      <c r="E2389">
        <v>757</v>
      </c>
      <c r="F2389" s="765">
        <v>1149.46</v>
      </c>
    </row>
    <row r="2390" spans="1:6">
      <c r="A2390" s="143">
        <v>11173</v>
      </c>
      <c r="B2390" t="s">
        <v>3379</v>
      </c>
      <c r="C2390" t="s">
        <v>3468</v>
      </c>
      <c r="D2390" s="45" t="s">
        <v>3570</v>
      </c>
      <c r="E2390">
        <v>761</v>
      </c>
      <c r="F2390" s="765">
        <v>204.39</v>
      </c>
    </row>
    <row r="2391" spans="1:6">
      <c r="A2391" s="143">
        <v>11439</v>
      </c>
      <c r="B2391" t="s">
        <v>1022</v>
      </c>
      <c r="C2391" t="s">
        <v>3472</v>
      </c>
      <c r="D2391" s="45" t="s">
        <v>3571</v>
      </c>
      <c r="E2391">
        <v>761</v>
      </c>
      <c r="F2391" s="765">
        <v>4362.79</v>
      </c>
    </row>
    <row r="2392" spans="1:6">
      <c r="A2392" s="143">
        <v>11604</v>
      </c>
      <c r="B2392" t="s">
        <v>3477</v>
      </c>
      <c r="C2392" t="s">
        <v>3478</v>
      </c>
      <c r="D2392" s="45" t="s">
        <v>3572</v>
      </c>
      <c r="E2392">
        <v>761</v>
      </c>
      <c r="F2392" s="765">
        <v>5147.8900000000003</v>
      </c>
    </row>
    <row r="2393" spans="1:6">
      <c r="A2393" s="143">
        <v>11749</v>
      </c>
      <c r="B2393" t="s">
        <v>3573</v>
      </c>
      <c r="C2393" t="s">
        <v>3574</v>
      </c>
      <c r="D2393" s="45" t="s">
        <v>3575</v>
      </c>
      <c r="E2393">
        <v>761</v>
      </c>
      <c r="F2393" s="765">
        <v>475.8</v>
      </c>
    </row>
    <row r="2394" spans="1:6">
      <c r="A2394" s="143">
        <v>11812</v>
      </c>
      <c r="B2394" t="s">
        <v>3404</v>
      </c>
      <c r="C2394" t="s">
        <v>3576</v>
      </c>
      <c r="D2394" s="45" t="s">
        <v>3577</v>
      </c>
      <c r="E2394">
        <v>761</v>
      </c>
      <c r="F2394" s="765">
        <v>1510.95</v>
      </c>
    </row>
    <row r="2395" spans="1:6">
      <c r="A2395" s="143">
        <v>11867</v>
      </c>
      <c r="B2395" t="s">
        <v>1198</v>
      </c>
      <c r="C2395" t="s">
        <v>3465</v>
      </c>
      <c r="D2395" s="45" t="s">
        <v>3578</v>
      </c>
      <c r="E2395">
        <v>761</v>
      </c>
      <c r="F2395" s="765">
        <v>2909.02</v>
      </c>
    </row>
    <row r="2396" spans="1:6">
      <c r="A2396" s="143">
        <v>11870</v>
      </c>
      <c r="B2396" t="s">
        <v>3552</v>
      </c>
      <c r="C2396" t="s">
        <v>3553</v>
      </c>
      <c r="D2396" s="45" t="s">
        <v>3579</v>
      </c>
      <c r="E2396">
        <v>761</v>
      </c>
      <c r="F2396" s="765">
        <v>7577.65</v>
      </c>
    </row>
    <row r="2397" spans="1:6">
      <c r="A2397" s="143">
        <v>11944</v>
      </c>
      <c r="B2397" t="s">
        <v>3411</v>
      </c>
      <c r="C2397" t="s">
        <v>3439</v>
      </c>
      <c r="D2397" s="45" t="s">
        <v>3580</v>
      </c>
      <c r="E2397">
        <v>761</v>
      </c>
      <c r="F2397" s="765">
        <v>2028.38</v>
      </c>
    </row>
    <row r="2398" spans="1:6">
      <c r="A2398" s="143">
        <v>11968</v>
      </c>
      <c r="B2398" t="s">
        <v>2983</v>
      </c>
      <c r="C2398" t="s">
        <v>3581</v>
      </c>
      <c r="D2398" s="45" t="s">
        <v>3582</v>
      </c>
      <c r="E2398">
        <v>761</v>
      </c>
      <c r="F2398" s="765">
        <v>2103.48</v>
      </c>
    </row>
    <row r="2399" spans="1:6">
      <c r="A2399" s="143">
        <v>11988</v>
      </c>
      <c r="B2399" t="s">
        <v>3144</v>
      </c>
      <c r="C2399" t="s">
        <v>3533</v>
      </c>
      <c r="D2399" s="45" t="s">
        <v>3583</v>
      </c>
      <c r="E2399">
        <v>761</v>
      </c>
      <c r="F2399" s="765">
        <v>499.56</v>
      </c>
    </row>
    <row r="2400" spans="1:6">
      <c r="A2400" s="143">
        <v>31031</v>
      </c>
      <c r="B2400" t="s">
        <v>3425</v>
      </c>
      <c r="C2400" t="s">
        <v>3499</v>
      </c>
      <c r="D2400" s="45" t="s">
        <v>3584</v>
      </c>
      <c r="E2400">
        <v>761</v>
      </c>
      <c r="F2400" s="765">
        <v>16693.52</v>
      </c>
    </row>
    <row r="2401" spans="1:6">
      <c r="A2401" s="143">
        <v>11991</v>
      </c>
      <c r="B2401" t="s">
        <v>3415</v>
      </c>
      <c r="C2401" t="s">
        <v>3441</v>
      </c>
      <c r="D2401" s="45" t="s">
        <v>3585</v>
      </c>
      <c r="E2401">
        <v>773</v>
      </c>
      <c r="F2401" s="765">
        <v>25337.87</v>
      </c>
    </row>
    <row r="2402" spans="1:6">
      <c r="A2402" s="143">
        <v>11867</v>
      </c>
      <c r="B2402" t="s">
        <v>1198</v>
      </c>
      <c r="C2402" t="s">
        <v>3465</v>
      </c>
      <c r="D2402" s="45" t="s">
        <v>3586</v>
      </c>
      <c r="E2402">
        <v>786</v>
      </c>
      <c r="F2402" s="765">
        <v>2869.47</v>
      </c>
    </row>
    <row r="2403" spans="1:6">
      <c r="A2403" s="143">
        <v>11173</v>
      </c>
      <c r="B2403" t="s">
        <v>3379</v>
      </c>
      <c r="C2403" t="s">
        <v>3468</v>
      </c>
      <c r="D2403" s="45" t="s">
        <v>3587</v>
      </c>
      <c r="E2403">
        <v>787</v>
      </c>
      <c r="F2403" s="765">
        <v>209.79</v>
      </c>
    </row>
    <row r="2404" spans="1:6">
      <c r="A2404" s="143">
        <v>11944</v>
      </c>
      <c r="B2404" t="s">
        <v>3411</v>
      </c>
      <c r="C2404" t="s">
        <v>3439</v>
      </c>
      <c r="D2404" s="45" t="s">
        <v>3588</v>
      </c>
      <c r="E2404">
        <v>787</v>
      </c>
      <c r="F2404" s="765">
        <v>2028.38</v>
      </c>
    </row>
    <row r="2405" spans="1:6">
      <c r="A2405" s="143">
        <v>11976</v>
      </c>
      <c r="B2405" t="s">
        <v>3105</v>
      </c>
      <c r="C2405" t="s">
        <v>3589</v>
      </c>
      <c r="D2405" s="45" t="s">
        <v>3590</v>
      </c>
      <c r="E2405">
        <v>787</v>
      </c>
      <c r="F2405" s="765">
        <v>221.44</v>
      </c>
    </row>
    <row r="2406" spans="1:6">
      <c r="A2406" s="143">
        <v>11988</v>
      </c>
      <c r="B2406" t="s">
        <v>3144</v>
      </c>
      <c r="C2406" t="s">
        <v>3533</v>
      </c>
      <c r="D2406" s="45" t="s">
        <v>3591</v>
      </c>
      <c r="E2406">
        <v>787</v>
      </c>
      <c r="F2406" s="765">
        <v>427.66</v>
      </c>
    </row>
    <row r="2407" spans="1:6">
      <c r="A2407" s="143">
        <v>11007</v>
      </c>
      <c r="B2407" t="s">
        <v>3463</v>
      </c>
      <c r="C2407" t="s">
        <v>3464</v>
      </c>
      <c r="D2407" s="45" t="s">
        <v>3592</v>
      </c>
      <c r="E2407">
        <v>791</v>
      </c>
      <c r="F2407" s="765">
        <v>2691.58</v>
      </c>
    </row>
    <row r="2408" spans="1:6">
      <c r="A2408" s="143">
        <v>11370</v>
      </c>
      <c r="B2408" t="s">
        <v>3386</v>
      </c>
      <c r="C2408" t="s">
        <v>3593</v>
      </c>
      <c r="D2408" s="45" t="s">
        <v>3594</v>
      </c>
      <c r="E2408">
        <v>791</v>
      </c>
      <c r="F2408" s="765">
        <v>674.51</v>
      </c>
    </row>
    <row r="2409" spans="1:6">
      <c r="A2409" s="143">
        <v>11439</v>
      </c>
      <c r="B2409" t="s">
        <v>1022</v>
      </c>
      <c r="C2409" t="s">
        <v>3472</v>
      </c>
      <c r="D2409" s="45" t="s">
        <v>3595</v>
      </c>
      <c r="E2409">
        <v>791</v>
      </c>
      <c r="F2409" s="765">
        <v>3165.14</v>
      </c>
    </row>
    <row r="2410" spans="1:6">
      <c r="A2410" s="143">
        <v>11485</v>
      </c>
      <c r="B2410" t="s">
        <v>3596</v>
      </c>
      <c r="C2410" t="s">
        <v>3597</v>
      </c>
      <c r="D2410" s="45" t="s">
        <v>3598</v>
      </c>
      <c r="E2410">
        <v>791</v>
      </c>
      <c r="F2410" s="765">
        <v>4722.8100000000004</v>
      </c>
    </row>
    <row r="2411" spans="1:6">
      <c r="A2411" s="143">
        <v>11870</v>
      </c>
      <c r="B2411" t="s">
        <v>3552</v>
      </c>
      <c r="C2411" t="s">
        <v>3553</v>
      </c>
      <c r="D2411" s="45" t="s">
        <v>3599</v>
      </c>
      <c r="E2411">
        <v>791</v>
      </c>
      <c r="F2411" s="765">
        <v>7829.29</v>
      </c>
    </row>
    <row r="2412" spans="1:6">
      <c r="A2412" s="143">
        <v>31031</v>
      </c>
      <c r="B2412" t="s">
        <v>3425</v>
      </c>
      <c r="C2412" t="s">
        <v>3499</v>
      </c>
      <c r="D2412" s="45" t="s">
        <v>3600</v>
      </c>
      <c r="E2412">
        <v>791</v>
      </c>
      <c r="F2412" s="765">
        <v>16837.32</v>
      </c>
    </row>
    <row r="2413" spans="1:6">
      <c r="A2413" s="143">
        <v>11946</v>
      </c>
      <c r="B2413" t="s">
        <v>3412</v>
      </c>
      <c r="C2413" t="s">
        <v>3490</v>
      </c>
      <c r="D2413" s="45" t="s">
        <v>3601</v>
      </c>
      <c r="E2413">
        <v>795</v>
      </c>
      <c r="F2413" s="765">
        <v>12097.84</v>
      </c>
    </row>
    <row r="2414" spans="1:6">
      <c r="A2414" s="143">
        <v>11953</v>
      </c>
      <c r="B2414" t="s">
        <v>3602</v>
      </c>
      <c r="C2414" t="s">
        <v>3603</v>
      </c>
      <c r="D2414" s="45" t="s">
        <v>3604</v>
      </c>
      <c r="E2414">
        <v>815</v>
      </c>
      <c r="F2414" s="765">
        <v>8618.7999999999993</v>
      </c>
    </row>
    <row r="2415" spans="1:6">
      <c r="A2415" s="143">
        <v>11173</v>
      </c>
      <c r="B2415" t="s">
        <v>3379</v>
      </c>
      <c r="C2415" t="s">
        <v>3468</v>
      </c>
      <c r="D2415" s="45" t="s">
        <v>3605</v>
      </c>
      <c r="E2415">
        <v>819</v>
      </c>
      <c r="F2415" s="765">
        <v>215.18</v>
      </c>
    </row>
    <row r="2416" spans="1:6">
      <c r="A2416" s="143">
        <v>11944</v>
      </c>
      <c r="B2416" t="s">
        <v>3411</v>
      </c>
      <c r="C2416" t="s">
        <v>3439</v>
      </c>
      <c r="D2416" s="45" t="s">
        <v>3606</v>
      </c>
      <c r="E2416">
        <v>819</v>
      </c>
      <c r="F2416" s="765">
        <v>2028.38</v>
      </c>
    </row>
    <row r="2417" spans="1:6">
      <c r="A2417" s="143">
        <v>11953</v>
      </c>
      <c r="B2417" t="s">
        <v>3602</v>
      </c>
      <c r="C2417" t="s">
        <v>3603</v>
      </c>
      <c r="D2417" s="45" t="s">
        <v>3607</v>
      </c>
      <c r="E2417">
        <v>819</v>
      </c>
      <c r="F2417" s="765">
        <v>270.44</v>
      </c>
    </row>
    <row r="2418" spans="1:6">
      <c r="A2418" s="143">
        <v>11968</v>
      </c>
      <c r="B2418" t="s">
        <v>2983</v>
      </c>
      <c r="C2418" t="s">
        <v>3581</v>
      </c>
      <c r="D2418" s="45" t="s">
        <v>3608</v>
      </c>
      <c r="E2418">
        <v>819</v>
      </c>
      <c r="F2418" s="765">
        <v>5333.44</v>
      </c>
    </row>
    <row r="2419" spans="1:6">
      <c r="A2419" s="143">
        <v>11988</v>
      </c>
      <c r="B2419" t="s">
        <v>3144</v>
      </c>
      <c r="C2419" t="s">
        <v>3533</v>
      </c>
      <c r="D2419" s="45" t="s">
        <v>3609</v>
      </c>
      <c r="E2419">
        <v>819</v>
      </c>
      <c r="F2419" s="765">
        <v>643.35</v>
      </c>
    </row>
    <row r="2420" spans="1:6">
      <c r="A2420" s="143">
        <v>11812</v>
      </c>
      <c r="B2420" t="s">
        <v>3404</v>
      </c>
      <c r="C2420" t="s">
        <v>3576</v>
      </c>
      <c r="D2420" s="45" t="s">
        <v>3610</v>
      </c>
      <c r="E2420">
        <v>820</v>
      </c>
      <c r="F2420" s="765">
        <v>1906.38</v>
      </c>
    </row>
    <row r="2421" spans="1:6">
      <c r="A2421" s="143">
        <v>11821</v>
      </c>
      <c r="B2421" t="s">
        <v>2090</v>
      </c>
      <c r="C2421" t="s">
        <v>3531</v>
      </c>
      <c r="D2421" s="45" t="s">
        <v>3611</v>
      </c>
      <c r="E2421">
        <v>820</v>
      </c>
      <c r="F2421" s="765">
        <v>822.54</v>
      </c>
    </row>
    <row r="2422" spans="1:6">
      <c r="A2422" s="143">
        <v>11822</v>
      </c>
      <c r="B2422" t="s">
        <v>3406</v>
      </c>
      <c r="C2422" t="s">
        <v>3486</v>
      </c>
      <c r="D2422" s="45" t="s">
        <v>3612</v>
      </c>
      <c r="E2422">
        <v>820</v>
      </c>
      <c r="F2422" s="765">
        <v>355.21</v>
      </c>
    </row>
    <row r="2423" spans="1:6">
      <c r="A2423" s="143">
        <v>31031</v>
      </c>
      <c r="B2423" t="s">
        <v>3425</v>
      </c>
      <c r="C2423" t="s">
        <v>3499</v>
      </c>
      <c r="D2423" s="45" t="s">
        <v>3613</v>
      </c>
      <c r="E2423">
        <v>821</v>
      </c>
      <c r="F2423" s="765">
        <v>17196.8</v>
      </c>
    </row>
    <row r="2424" spans="1:6">
      <c r="A2424" s="143">
        <v>11007</v>
      </c>
      <c r="B2424" t="s">
        <v>3463</v>
      </c>
      <c r="C2424" t="s">
        <v>3464</v>
      </c>
      <c r="D2424" s="45" t="s">
        <v>3614</v>
      </c>
      <c r="E2424">
        <v>822</v>
      </c>
      <c r="F2424" s="765">
        <v>3079.46</v>
      </c>
    </row>
    <row r="2425" spans="1:6">
      <c r="A2425" s="143">
        <v>11988</v>
      </c>
      <c r="B2425" t="s">
        <v>3144</v>
      </c>
      <c r="C2425" t="s">
        <v>3533</v>
      </c>
      <c r="D2425" s="45" t="s">
        <v>3615</v>
      </c>
      <c r="E2425">
        <v>844</v>
      </c>
      <c r="F2425" s="765">
        <v>1290.42</v>
      </c>
    </row>
    <row r="2426" spans="1:6">
      <c r="A2426" s="143">
        <v>31027</v>
      </c>
      <c r="B2426" t="s">
        <v>1033</v>
      </c>
      <c r="C2426" t="s">
        <v>3478</v>
      </c>
      <c r="D2426" s="45" t="s">
        <v>3616</v>
      </c>
      <c r="E2426">
        <v>844</v>
      </c>
      <c r="F2426" s="765">
        <v>1530.94</v>
      </c>
    </row>
    <row r="2427" spans="1:6">
      <c r="A2427" s="143">
        <v>11604</v>
      </c>
      <c r="B2427" t="s">
        <v>3477</v>
      </c>
      <c r="C2427" t="s">
        <v>3478</v>
      </c>
      <c r="D2427" s="45" t="s">
        <v>3617</v>
      </c>
      <c r="E2427">
        <v>849</v>
      </c>
      <c r="F2427" s="765">
        <v>4932.1899999999996</v>
      </c>
    </row>
    <row r="2428" spans="1:6">
      <c r="A2428" s="143">
        <v>21017</v>
      </c>
      <c r="B2428" t="s">
        <v>3419</v>
      </c>
      <c r="C2428" t="s">
        <v>3618</v>
      </c>
      <c r="D2428" s="45" t="s">
        <v>3619</v>
      </c>
      <c r="E2428">
        <v>849</v>
      </c>
      <c r="F2428" s="765">
        <v>73926.44</v>
      </c>
    </row>
    <row r="2429" spans="1:6">
      <c r="A2429" s="143">
        <v>31031</v>
      </c>
      <c r="B2429" t="s">
        <v>3425</v>
      </c>
      <c r="C2429" t="s">
        <v>3499</v>
      </c>
      <c r="D2429" s="45" t="s">
        <v>3620</v>
      </c>
      <c r="E2429">
        <v>849</v>
      </c>
      <c r="F2429" s="765">
        <v>16477.830000000002</v>
      </c>
    </row>
    <row r="2430" spans="1:6">
      <c r="A2430" s="143">
        <v>11812</v>
      </c>
      <c r="B2430" t="s">
        <v>3404</v>
      </c>
      <c r="C2430" t="s">
        <v>3576</v>
      </c>
      <c r="D2430" s="45" t="s">
        <v>3621</v>
      </c>
      <c r="E2430">
        <v>850</v>
      </c>
      <c r="F2430" s="765">
        <v>2014.23</v>
      </c>
    </row>
    <row r="2431" spans="1:6">
      <c r="A2431" s="143">
        <v>11944</v>
      </c>
      <c r="B2431" t="s">
        <v>3411</v>
      </c>
      <c r="C2431" t="s">
        <v>3439</v>
      </c>
      <c r="D2431" s="45" t="s">
        <v>3622</v>
      </c>
      <c r="E2431">
        <v>850</v>
      </c>
      <c r="F2431" s="765">
        <v>2028.38</v>
      </c>
    </row>
    <row r="2432" spans="1:6">
      <c r="A2432" s="143">
        <v>11007</v>
      </c>
      <c r="B2432" t="s">
        <v>3463</v>
      </c>
      <c r="C2432" t="s">
        <v>3464</v>
      </c>
      <c r="D2432" s="45" t="s">
        <v>3623</v>
      </c>
      <c r="E2432">
        <v>851</v>
      </c>
      <c r="F2432" s="765">
        <v>3614.01</v>
      </c>
    </row>
    <row r="2433" spans="1:6">
      <c r="A2433" s="143">
        <v>11721</v>
      </c>
      <c r="B2433" t="s">
        <v>3418</v>
      </c>
      <c r="C2433" t="s">
        <v>3458</v>
      </c>
      <c r="D2433" s="45" t="s">
        <v>3624</v>
      </c>
      <c r="E2433">
        <v>868</v>
      </c>
      <c r="F2433" s="765">
        <v>3866.66</v>
      </c>
    </row>
    <row r="2434" spans="1:6">
      <c r="A2434" s="143">
        <v>11604</v>
      </c>
      <c r="B2434" t="s">
        <v>3477</v>
      </c>
      <c r="C2434" t="s">
        <v>3478</v>
      </c>
      <c r="D2434" s="45" t="s">
        <v>3625</v>
      </c>
      <c r="E2434">
        <v>871</v>
      </c>
      <c r="F2434" s="765">
        <v>4680.5600000000004</v>
      </c>
    </row>
    <row r="2435" spans="1:6">
      <c r="A2435" s="143">
        <v>11946</v>
      </c>
      <c r="B2435" t="s">
        <v>3412</v>
      </c>
      <c r="C2435" t="s">
        <v>3490</v>
      </c>
      <c r="D2435" s="45" t="s">
        <v>3626</v>
      </c>
      <c r="E2435">
        <v>871</v>
      </c>
      <c r="F2435" s="765">
        <v>12277.58</v>
      </c>
    </row>
    <row r="2436" spans="1:6">
      <c r="A2436" s="143">
        <v>11987</v>
      </c>
      <c r="B2436" t="s">
        <v>3414</v>
      </c>
      <c r="C2436" t="s">
        <v>3627</v>
      </c>
      <c r="D2436" s="45" t="s">
        <v>3628</v>
      </c>
      <c r="E2436">
        <v>875</v>
      </c>
      <c r="F2436" s="765">
        <v>19268.34</v>
      </c>
    </row>
    <row r="2437" spans="1:6">
      <c r="A2437" s="143">
        <v>11812</v>
      </c>
      <c r="B2437" t="s">
        <v>3404</v>
      </c>
      <c r="C2437" t="s">
        <v>3576</v>
      </c>
      <c r="D2437" s="45" t="s">
        <v>3629</v>
      </c>
      <c r="E2437">
        <v>877</v>
      </c>
      <c r="F2437" s="765">
        <v>574.05999999999995</v>
      </c>
    </row>
    <row r="2438" spans="1:6">
      <c r="A2438" s="143">
        <v>21017</v>
      </c>
      <c r="B2438" t="s">
        <v>3419</v>
      </c>
      <c r="C2438" t="s">
        <v>3618</v>
      </c>
      <c r="D2438" s="45" t="s">
        <v>3630</v>
      </c>
      <c r="E2438">
        <v>877</v>
      </c>
      <c r="F2438" s="765">
        <v>75040.5</v>
      </c>
    </row>
    <row r="2439" spans="1:6">
      <c r="A2439" s="143">
        <v>11089</v>
      </c>
      <c r="B2439" t="s">
        <v>3375</v>
      </c>
      <c r="C2439" t="s">
        <v>3451</v>
      </c>
      <c r="D2439" s="45" t="s">
        <v>3631</v>
      </c>
      <c r="E2439">
        <v>878</v>
      </c>
      <c r="F2439" s="765">
        <v>1121.48</v>
      </c>
    </row>
    <row r="2440" spans="1:6">
      <c r="A2440" s="143">
        <v>11669</v>
      </c>
      <c r="B2440" t="s">
        <v>1140</v>
      </c>
      <c r="C2440" t="s">
        <v>3632</v>
      </c>
      <c r="D2440" s="45" t="s">
        <v>3633</v>
      </c>
      <c r="E2440">
        <v>878</v>
      </c>
      <c r="F2440" s="765">
        <v>1397.33</v>
      </c>
    </row>
    <row r="2441" spans="1:6">
      <c r="A2441" s="143">
        <v>11944</v>
      </c>
      <c r="B2441" t="s">
        <v>3411</v>
      </c>
      <c r="C2441" t="s">
        <v>3439</v>
      </c>
      <c r="D2441" s="45" t="s">
        <v>3634</v>
      </c>
      <c r="E2441">
        <v>883</v>
      </c>
      <c r="F2441" s="765">
        <v>2028.38</v>
      </c>
    </row>
    <row r="2442" spans="1:6">
      <c r="A2442" s="143">
        <v>31031</v>
      </c>
      <c r="B2442" t="s">
        <v>3425</v>
      </c>
      <c r="C2442" t="s">
        <v>3499</v>
      </c>
      <c r="D2442" s="45" t="s">
        <v>3635</v>
      </c>
      <c r="E2442">
        <v>883</v>
      </c>
      <c r="F2442" s="765">
        <v>16226.19</v>
      </c>
    </row>
    <row r="2443" spans="1:6">
      <c r="A2443" s="143">
        <v>11573</v>
      </c>
      <c r="B2443" t="s">
        <v>3417</v>
      </c>
      <c r="C2443" t="s">
        <v>3457</v>
      </c>
      <c r="D2443" s="45" t="s">
        <v>3636</v>
      </c>
      <c r="E2443">
        <v>886</v>
      </c>
      <c r="F2443" s="765">
        <v>3866.66</v>
      </c>
    </row>
    <row r="2444" spans="1:6">
      <c r="A2444" s="143">
        <v>11573</v>
      </c>
      <c r="B2444" t="s">
        <v>3417</v>
      </c>
      <c r="C2444" t="s">
        <v>3457</v>
      </c>
      <c r="D2444" s="45" t="s">
        <v>3637</v>
      </c>
      <c r="E2444">
        <v>890</v>
      </c>
      <c r="F2444" s="765">
        <v>17713.900000000001</v>
      </c>
    </row>
    <row r="2445" spans="1:6">
      <c r="A2445" s="143">
        <v>11988</v>
      </c>
      <c r="B2445" t="s">
        <v>3144</v>
      </c>
      <c r="C2445" t="s">
        <v>3533</v>
      </c>
      <c r="D2445" s="45" t="s">
        <v>3638</v>
      </c>
      <c r="E2445">
        <v>906</v>
      </c>
      <c r="F2445" s="765">
        <v>247.92</v>
      </c>
    </row>
    <row r="2446" spans="1:6">
      <c r="A2446" s="143">
        <v>11089</v>
      </c>
      <c r="B2446" t="s">
        <v>3375</v>
      </c>
      <c r="C2446" t="s">
        <v>3451</v>
      </c>
      <c r="D2446" s="45" t="s">
        <v>3639</v>
      </c>
      <c r="E2446">
        <v>912</v>
      </c>
      <c r="F2446" s="765">
        <v>1624.75</v>
      </c>
    </row>
    <row r="2447" spans="1:6">
      <c r="A2447" s="143">
        <v>11836</v>
      </c>
      <c r="B2447" t="s">
        <v>2878</v>
      </c>
      <c r="C2447" t="s">
        <v>3488</v>
      </c>
      <c r="D2447" s="45" t="s">
        <v>3640</v>
      </c>
      <c r="E2447">
        <v>912</v>
      </c>
      <c r="F2447" s="765">
        <v>503.28</v>
      </c>
    </row>
    <row r="2448" spans="1:6">
      <c r="A2448" s="143">
        <v>11944</v>
      </c>
      <c r="B2448" t="s">
        <v>3411</v>
      </c>
      <c r="C2448" t="s">
        <v>3439</v>
      </c>
      <c r="D2448" s="45" t="s">
        <v>3641</v>
      </c>
      <c r="E2448">
        <v>912</v>
      </c>
      <c r="F2448" s="765">
        <v>2028.38</v>
      </c>
    </row>
    <row r="2449" spans="1:6">
      <c r="A2449" s="143">
        <v>11007</v>
      </c>
      <c r="B2449" t="s">
        <v>3463</v>
      </c>
      <c r="C2449" t="s">
        <v>3464</v>
      </c>
      <c r="D2449" s="45" t="s">
        <v>3642</v>
      </c>
      <c r="E2449">
        <v>913</v>
      </c>
      <c r="F2449" s="765">
        <v>4203.57</v>
      </c>
    </row>
    <row r="2450" spans="1:6">
      <c r="A2450" s="143">
        <v>31031</v>
      </c>
      <c r="B2450" t="s">
        <v>3425</v>
      </c>
      <c r="C2450" t="s">
        <v>3499</v>
      </c>
      <c r="D2450" s="45" t="s">
        <v>3643</v>
      </c>
      <c r="E2450">
        <v>913</v>
      </c>
      <c r="F2450" s="765">
        <v>14815.54</v>
      </c>
    </row>
    <row r="2451" spans="1:6">
      <c r="A2451" s="143">
        <v>31017</v>
      </c>
      <c r="B2451" t="s">
        <v>3423</v>
      </c>
      <c r="C2451" t="s">
        <v>3435</v>
      </c>
      <c r="D2451" s="45" t="s">
        <v>3644</v>
      </c>
      <c r="E2451">
        <v>917</v>
      </c>
      <c r="F2451" s="765">
        <v>2505.23</v>
      </c>
    </row>
    <row r="2452" spans="1:6">
      <c r="A2452" s="143">
        <v>11944</v>
      </c>
      <c r="B2452" t="s">
        <v>3411</v>
      </c>
      <c r="C2452" t="s">
        <v>3439</v>
      </c>
      <c r="D2452" s="45" t="s">
        <v>3645</v>
      </c>
      <c r="E2452">
        <v>941</v>
      </c>
      <c r="F2452" s="765">
        <v>2028.38</v>
      </c>
    </row>
    <row r="2453" spans="1:6">
      <c r="A2453" s="143">
        <v>31031</v>
      </c>
      <c r="B2453" t="s">
        <v>3425</v>
      </c>
      <c r="C2453" t="s">
        <v>3499</v>
      </c>
      <c r="D2453" s="45" t="s">
        <v>3646</v>
      </c>
      <c r="E2453">
        <v>941</v>
      </c>
      <c r="F2453" s="765">
        <v>14779.59</v>
      </c>
    </row>
    <row r="2454" spans="1:6">
      <c r="A2454" s="143">
        <v>11944</v>
      </c>
      <c r="B2454" t="s">
        <v>3411</v>
      </c>
      <c r="C2454" t="s">
        <v>3439</v>
      </c>
      <c r="D2454" s="45" t="s">
        <v>3647</v>
      </c>
      <c r="E2454">
        <v>969</v>
      </c>
      <c r="F2454" s="765">
        <v>2028.38</v>
      </c>
    </row>
    <row r="2455" spans="1:6">
      <c r="A2455" s="143">
        <v>31031</v>
      </c>
      <c r="B2455" t="s">
        <v>3425</v>
      </c>
      <c r="C2455" t="s">
        <v>3499</v>
      </c>
      <c r="D2455" s="45" t="s">
        <v>3648</v>
      </c>
      <c r="E2455">
        <v>969</v>
      </c>
      <c r="F2455" s="765">
        <v>14671.75</v>
      </c>
    </row>
    <row r="2456" spans="1:6">
      <c r="A2456" s="143">
        <v>11669</v>
      </c>
      <c r="B2456" t="s">
        <v>1140</v>
      </c>
      <c r="C2456" t="s">
        <v>3632</v>
      </c>
      <c r="D2456" s="45" t="s">
        <v>3649</v>
      </c>
      <c r="E2456">
        <v>991</v>
      </c>
      <c r="F2456" s="765">
        <v>1397.33</v>
      </c>
    </row>
    <row r="2457" spans="1:6">
      <c r="A2457" s="143">
        <v>11669</v>
      </c>
      <c r="B2457" t="s">
        <v>1140</v>
      </c>
      <c r="C2457" t="s">
        <v>3632</v>
      </c>
      <c r="D2457" s="45" t="s">
        <v>3650</v>
      </c>
      <c r="E2457">
        <v>991</v>
      </c>
      <c r="F2457" s="765">
        <v>1397.33</v>
      </c>
    </row>
    <row r="2458" spans="1:6">
      <c r="A2458" s="143">
        <v>31031</v>
      </c>
      <c r="B2458" t="s">
        <v>3425</v>
      </c>
      <c r="C2458" t="s">
        <v>3499</v>
      </c>
      <c r="D2458" s="45" t="s">
        <v>3651</v>
      </c>
      <c r="E2458">
        <v>997</v>
      </c>
      <c r="F2458" s="765">
        <v>14815.54</v>
      </c>
    </row>
    <row r="2459" spans="1:6">
      <c r="A2459" s="143">
        <v>11295</v>
      </c>
      <c r="B2459" t="s">
        <v>3381</v>
      </c>
      <c r="C2459" t="s">
        <v>3507</v>
      </c>
      <c r="D2459" s="45" t="s">
        <v>3652</v>
      </c>
      <c r="E2459">
        <v>998</v>
      </c>
      <c r="F2459" s="765">
        <v>4720.46</v>
      </c>
    </row>
    <row r="2460" spans="1:6">
      <c r="A2460" s="143">
        <v>11295</v>
      </c>
      <c r="B2460" t="s">
        <v>3381</v>
      </c>
      <c r="C2460" t="s">
        <v>3507</v>
      </c>
      <c r="D2460" s="45" t="s">
        <v>3653</v>
      </c>
      <c r="E2460">
        <v>998</v>
      </c>
      <c r="F2460" s="765">
        <v>5077.49</v>
      </c>
    </row>
    <row r="2461" spans="1:6">
      <c r="A2461" s="143">
        <v>11604</v>
      </c>
      <c r="B2461" t="s">
        <v>3477</v>
      </c>
      <c r="C2461" t="s">
        <v>3478</v>
      </c>
      <c r="D2461" s="45" t="s">
        <v>3654</v>
      </c>
      <c r="E2461">
        <v>998</v>
      </c>
      <c r="F2461" s="765">
        <v>5723.06</v>
      </c>
    </row>
    <row r="2462" spans="1:6">
      <c r="A2462" s="143">
        <v>11944</v>
      </c>
      <c r="B2462" t="s">
        <v>3411</v>
      </c>
      <c r="C2462" t="s">
        <v>3439</v>
      </c>
      <c r="D2462" s="45" t="s">
        <v>3655</v>
      </c>
      <c r="E2462">
        <v>1002</v>
      </c>
      <c r="F2462" s="765">
        <v>2028.38</v>
      </c>
    </row>
    <row r="2463" spans="1:6">
      <c r="A2463" s="143">
        <v>11002</v>
      </c>
      <c r="B2463" t="s">
        <v>1123</v>
      </c>
      <c r="C2463" t="s">
        <v>3501</v>
      </c>
      <c r="D2463" s="45" t="s">
        <v>3656</v>
      </c>
      <c r="E2463">
        <v>1004</v>
      </c>
      <c r="F2463" s="765">
        <v>10892.37</v>
      </c>
    </row>
    <row r="2464" spans="1:6">
      <c r="A2464" s="143">
        <v>11626</v>
      </c>
      <c r="B2464" t="s">
        <v>3452</v>
      </c>
      <c r="C2464" t="s">
        <v>3453</v>
      </c>
      <c r="D2464" s="45" t="s">
        <v>3657</v>
      </c>
      <c r="E2464">
        <v>1015</v>
      </c>
      <c r="F2464" s="765">
        <v>2539.5500000000002</v>
      </c>
    </row>
    <row r="2465" spans="1:6">
      <c r="A2465" s="143">
        <v>11604</v>
      </c>
      <c r="B2465" t="s">
        <v>3477</v>
      </c>
      <c r="C2465" t="s">
        <v>3478</v>
      </c>
      <c r="D2465" s="45" t="s">
        <v>3659</v>
      </c>
      <c r="E2465">
        <v>1031</v>
      </c>
      <c r="F2465" s="765">
        <v>5794.96</v>
      </c>
    </row>
    <row r="2466" spans="1:6">
      <c r="A2466" s="143">
        <v>11604</v>
      </c>
      <c r="B2466" t="s">
        <v>3477</v>
      </c>
      <c r="C2466" t="s">
        <v>3478</v>
      </c>
      <c r="D2466" s="45" t="s">
        <v>3658</v>
      </c>
      <c r="E2466">
        <v>1031</v>
      </c>
      <c r="F2466" s="765">
        <v>1659.61</v>
      </c>
    </row>
    <row r="2467" spans="1:6">
      <c r="A2467" s="143">
        <v>11605</v>
      </c>
      <c r="B2467" t="s">
        <v>5949</v>
      </c>
      <c r="C2467" t="s">
        <v>3515</v>
      </c>
      <c r="D2467" s="45" t="s">
        <v>3660</v>
      </c>
      <c r="E2467">
        <v>1031</v>
      </c>
      <c r="F2467" s="765">
        <v>939.54</v>
      </c>
    </row>
    <row r="2468" spans="1:6">
      <c r="A2468" s="143">
        <v>11944</v>
      </c>
      <c r="B2468" t="s">
        <v>3411</v>
      </c>
      <c r="C2468" t="s">
        <v>3439</v>
      </c>
      <c r="D2468" s="45" t="s">
        <v>3661</v>
      </c>
      <c r="E2468">
        <v>1032</v>
      </c>
      <c r="F2468" s="765">
        <v>2028.38</v>
      </c>
    </row>
    <row r="2469" spans="1:6">
      <c r="A2469" s="143">
        <v>31031</v>
      </c>
      <c r="B2469" t="s">
        <v>3425</v>
      </c>
      <c r="C2469" t="s">
        <v>3499</v>
      </c>
      <c r="D2469" s="45" t="s">
        <v>3662</v>
      </c>
      <c r="E2469">
        <v>1032</v>
      </c>
      <c r="F2469" s="765">
        <v>14707.7</v>
      </c>
    </row>
    <row r="2470" spans="1:6">
      <c r="A2470" s="143">
        <v>11496</v>
      </c>
      <c r="B2470" t="s">
        <v>3561</v>
      </c>
      <c r="C2470" t="s">
        <v>3562</v>
      </c>
      <c r="D2470" s="45" t="s">
        <v>3664</v>
      </c>
      <c r="E2470">
        <v>1052</v>
      </c>
      <c r="F2470" s="765">
        <v>1909.43</v>
      </c>
    </row>
    <row r="2471" spans="1:6">
      <c r="A2471" s="143">
        <v>11818</v>
      </c>
      <c r="B2471" t="s">
        <v>2089</v>
      </c>
      <c r="C2471" t="s">
        <v>3485</v>
      </c>
      <c r="D2471" s="45" t="s">
        <v>3665</v>
      </c>
      <c r="E2471">
        <v>1053</v>
      </c>
      <c r="F2471" s="765">
        <v>333.23</v>
      </c>
    </row>
    <row r="2472" spans="1:6">
      <c r="A2472" s="143">
        <v>11604</v>
      </c>
      <c r="B2472" t="s">
        <v>3477</v>
      </c>
      <c r="C2472" t="s">
        <v>3478</v>
      </c>
      <c r="D2472" s="45" t="s">
        <v>3666</v>
      </c>
      <c r="E2472">
        <v>1054</v>
      </c>
      <c r="F2472" s="765">
        <v>4896.25</v>
      </c>
    </row>
    <row r="2473" spans="1:6">
      <c r="A2473" s="143">
        <v>11370</v>
      </c>
      <c r="B2473" t="s">
        <v>3386</v>
      </c>
      <c r="C2473" t="s">
        <v>3593</v>
      </c>
      <c r="D2473" s="45" t="s">
        <v>3667</v>
      </c>
      <c r="E2473">
        <v>1057</v>
      </c>
      <c r="F2473" s="765">
        <v>435.44</v>
      </c>
    </row>
    <row r="2474" spans="1:6">
      <c r="A2474" s="143">
        <v>31027</v>
      </c>
      <c r="B2474" t="s">
        <v>1033</v>
      </c>
      <c r="C2474" t="s">
        <v>3478</v>
      </c>
      <c r="D2474" s="45" t="s">
        <v>3668</v>
      </c>
      <c r="E2474">
        <v>1057</v>
      </c>
      <c r="F2474" s="765">
        <v>1530.94</v>
      </c>
    </row>
    <row r="2475" spans="1:6">
      <c r="A2475" s="143">
        <v>31031</v>
      </c>
      <c r="B2475" t="s">
        <v>3425</v>
      </c>
      <c r="C2475" t="s">
        <v>3499</v>
      </c>
      <c r="D2475" s="45" t="s">
        <v>3669</v>
      </c>
      <c r="E2475">
        <v>1057</v>
      </c>
      <c r="F2475" s="765">
        <v>14420.11</v>
      </c>
    </row>
    <row r="2476" spans="1:6">
      <c r="A2476" s="143">
        <v>11669</v>
      </c>
      <c r="B2476" t="s">
        <v>1140</v>
      </c>
      <c r="C2476" t="s">
        <v>3632</v>
      </c>
      <c r="D2476" s="45" t="s">
        <v>3670</v>
      </c>
      <c r="E2476">
        <v>1058</v>
      </c>
      <c r="F2476" s="765">
        <v>1505.18</v>
      </c>
    </row>
    <row r="2477" spans="1:6">
      <c r="A2477" s="143">
        <v>11699</v>
      </c>
      <c r="B2477" t="s">
        <v>3396</v>
      </c>
      <c r="C2477" t="s">
        <v>3480</v>
      </c>
      <c r="D2477" s="45" t="s">
        <v>3671</v>
      </c>
      <c r="E2477">
        <v>1058</v>
      </c>
      <c r="F2477" s="765">
        <v>181.67</v>
      </c>
    </row>
    <row r="2478" spans="1:6">
      <c r="A2478" s="143">
        <v>11944</v>
      </c>
      <c r="B2478" t="s">
        <v>3411</v>
      </c>
      <c r="C2478" t="s">
        <v>3439</v>
      </c>
      <c r="D2478" s="45" t="s">
        <v>3672</v>
      </c>
      <c r="E2478">
        <v>1058</v>
      </c>
      <c r="F2478" s="765">
        <v>2028.38</v>
      </c>
    </row>
    <row r="2479" spans="1:6">
      <c r="A2479" s="143">
        <v>21017</v>
      </c>
      <c r="B2479" t="s">
        <v>3419</v>
      </c>
      <c r="C2479" t="s">
        <v>3618</v>
      </c>
      <c r="D2479" s="45" t="s">
        <v>3673</v>
      </c>
      <c r="E2479">
        <v>1066</v>
      </c>
      <c r="F2479" s="765">
        <v>34250.800000000003</v>
      </c>
    </row>
    <row r="2480" spans="1:6">
      <c r="A2480" s="143">
        <v>11370</v>
      </c>
      <c r="B2480" t="s">
        <v>3386</v>
      </c>
      <c r="C2480" t="s">
        <v>3593</v>
      </c>
      <c r="D2480" s="45" t="s">
        <v>3674</v>
      </c>
      <c r="E2480">
        <v>1081</v>
      </c>
      <c r="F2480" s="765">
        <v>585.41</v>
      </c>
    </row>
    <row r="2481" spans="1:6">
      <c r="A2481" s="143">
        <v>11604</v>
      </c>
      <c r="B2481" t="s">
        <v>3477</v>
      </c>
      <c r="C2481" t="s">
        <v>3478</v>
      </c>
      <c r="D2481" s="45" t="s">
        <v>3675</v>
      </c>
      <c r="E2481">
        <v>1081</v>
      </c>
      <c r="F2481" s="765">
        <v>4881.3100000000004</v>
      </c>
    </row>
    <row r="2482" spans="1:6">
      <c r="A2482" s="143">
        <v>11699</v>
      </c>
      <c r="B2482" t="s">
        <v>3396</v>
      </c>
      <c r="C2482" t="s">
        <v>3480</v>
      </c>
      <c r="D2482" s="45" t="s">
        <v>3676</v>
      </c>
      <c r="E2482">
        <v>1085</v>
      </c>
      <c r="F2482" s="765">
        <v>251.34</v>
      </c>
    </row>
    <row r="2483" spans="1:6">
      <c r="A2483" s="143">
        <v>11944</v>
      </c>
      <c r="B2483" t="s">
        <v>3411</v>
      </c>
      <c r="C2483" t="s">
        <v>3439</v>
      </c>
      <c r="D2483" s="45" t="s">
        <v>3677</v>
      </c>
      <c r="E2483">
        <v>1085</v>
      </c>
      <c r="F2483" s="765">
        <v>1846.66</v>
      </c>
    </row>
    <row r="2484" spans="1:6">
      <c r="A2484" s="143">
        <v>11669</v>
      </c>
      <c r="B2484" t="s">
        <v>1140</v>
      </c>
      <c r="C2484" t="s">
        <v>3632</v>
      </c>
      <c r="D2484" s="45" t="s">
        <v>3678</v>
      </c>
      <c r="E2484">
        <v>1086</v>
      </c>
      <c r="F2484" s="765">
        <v>1407.82</v>
      </c>
    </row>
    <row r="2485" spans="1:6">
      <c r="A2485" s="143">
        <v>11689</v>
      </c>
      <c r="B2485" t="s">
        <v>3395</v>
      </c>
      <c r="C2485" t="s">
        <v>3446</v>
      </c>
      <c r="D2485" s="45" t="s">
        <v>3679</v>
      </c>
      <c r="E2485">
        <v>1086</v>
      </c>
      <c r="F2485" s="765">
        <v>16729.52</v>
      </c>
    </row>
    <row r="2486" spans="1:6">
      <c r="A2486" s="143">
        <v>31009</v>
      </c>
      <c r="B2486" t="s">
        <v>3374</v>
      </c>
      <c r="C2486" t="s">
        <v>3443</v>
      </c>
      <c r="D2486" s="45" t="s">
        <v>3680</v>
      </c>
      <c r="E2486">
        <v>1087</v>
      </c>
      <c r="F2486" s="765">
        <v>1017.55</v>
      </c>
    </row>
    <row r="2487" spans="1:6">
      <c r="A2487" s="143">
        <v>31031</v>
      </c>
      <c r="B2487" t="s">
        <v>3425</v>
      </c>
      <c r="C2487" t="s">
        <v>3499</v>
      </c>
      <c r="D2487" s="45" t="s">
        <v>3681</v>
      </c>
      <c r="E2487">
        <v>1087</v>
      </c>
      <c r="F2487" s="765">
        <v>9476.0300000000007</v>
      </c>
    </row>
    <row r="2488" spans="1:6">
      <c r="A2488" s="143">
        <v>11953</v>
      </c>
      <c r="B2488" t="s">
        <v>3602</v>
      </c>
      <c r="C2488" t="s">
        <v>3603</v>
      </c>
      <c r="D2488" s="45" t="s">
        <v>3682</v>
      </c>
      <c r="E2488">
        <v>1088</v>
      </c>
      <c r="F2488" s="765">
        <v>491.94</v>
      </c>
    </row>
    <row r="2489" spans="1:6">
      <c r="A2489" s="143">
        <v>11953</v>
      </c>
      <c r="B2489" t="s">
        <v>3602</v>
      </c>
      <c r="C2489" t="s">
        <v>3603</v>
      </c>
      <c r="D2489" s="45" t="s">
        <v>3683</v>
      </c>
      <c r="E2489">
        <v>1088</v>
      </c>
      <c r="F2489" s="765">
        <v>1025.93</v>
      </c>
    </row>
    <row r="2490" spans="1:6">
      <c r="A2490" s="143">
        <v>11002</v>
      </c>
      <c r="B2490" t="s">
        <v>1123</v>
      </c>
      <c r="C2490" t="s">
        <v>3501</v>
      </c>
      <c r="D2490" s="45" t="s">
        <v>3767</v>
      </c>
      <c r="E2490">
        <v>1122</v>
      </c>
      <c r="F2490" s="765">
        <v>47597.58</v>
      </c>
    </row>
    <row r="2491" spans="1:6">
      <c r="A2491" s="143">
        <v>11002</v>
      </c>
      <c r="B2491" t="s">
        <v>1123</v>
      </c>
      <c r="C2491" t="s">
        <v>3501</v>
      </c>
      <c r="D2491" s="45" t="s">
        <v>3768</v>
      </c>
      <c r="E2491">
        <v>1122</v>
      </c>
      <c r="F2491" s="765">
        <v>13567.36</v>
      </c>
    </row>
    <row r="2492" spans="1:6">
      <c r="A2492" s="143">
        <v>11053</v>
      </c>
      <c r="B2492" t="s">
        <v>3372</v>
      </c>
      <c r="C2492" t="s">
        <v>3466</v>
      </c>
      <c r="D2492" s="45" t="s">
        <v>3769</v>
      </c>
      <c r="E2492">
        <v>1122</v>
      </c>
      <c r="F2492" s="765">
        <v>10000.25</v>
      </c>
    </row>
    <row r="2493" spans="1:6">
      <c r="A2493" s="143">
        <v>11075</v>
      </c>
      <c r="B2493" t="s">
        <v>3373</v>
      </c>
      <c r="C2493" t="s">
        <v>3467</v>
      </c>
      <c r="D2493" s="45" t="s">
        <v>3770</v>
      </c>
      <c r="E2493">
        <v>1122</v>
      </c>
      <c r="F2493" s="765">
        <v>1313.19</v>
      </c>
    </row>
    <row r="2494" spans="1:6">
      <c r="A2494" s="143">
        <v>11100</v>
      </c>
      <c r="B2494" t="s">
        <v>3376</v>
      </c>
      <c r="C2494" t="s">
        <v>3771</v>
      </c>
      <c r="D2494" s="45" t="s">
        <v>3772</v>
      </c>
      <c r="E2494">
        <v>1122</v>
      </c>
      <c r="F2494" s="765">
        <v>2104.65</v>
      </c>
    </row>
    <row r="2495" spans="1:6">
      <c r="A2495" s="143">
        <v>11100</v>
      </c>
      <c r="B2495" t="s">
        <v>3376</v>
      </c>
      <c r="C2495" t="s">
        <v>3771</v>
      </c>
      <c r="D2495" s="45" t="s">
        <v>3773</v>
      </c>
      <c r="E2495">
        <v>1122</v>
      </c>
      <c r="F2495" s="765">
        <v>2965.57</v>
      </c>
    </row>
    <row r="2496" spans="1:6">
      <c r="A2496" s="143">
        <v>11100</v>
      </c>
      <c r="B2496" t="s">
        <v>3376</v>
      </c>
      <c r="C2496" t="s">
        <v>3771</v>
      </c>
      <c r="D2496" s="45" t="s">
        <v>3774</v>
      </c>
      <c r="E2496">
        <v>1122</v>
      </c>
      <c r="F2496" s="765">
        <v>2287.31</v>
      </c>
    </row>
    <row r="2497" spans="1:6">
      <c r="A2497" s="143">
        <v>11100</v>
      </c>
      <c r="B2497" t="s">
        <v>3376</v>
      </c>
      <c r="C2497" t="s">
        <v>3771</v>
      </c>
      <c r="D2497" s="45" t="s">
        <v>3775</v>
      </c>
      <c r="E2497">
        <v>1122</v>
      </c>
      <c r="F2497" s="765">
        <v>413.28</v>
      </c>
    </row>
    <row r="2498" spans="1:6">
      <c r="A2498" s="143">
        <v>11100</v>
      </c>
      <c r="B2498" t="s">
        <v>3376</v>
      </c>
      <c r="C2498" t="s">
        <v>3771</v>
      </c>
      <c r="D2498" s="45" t="s">
        <v>3776</v>
      </c>
      <c r="E2498">
        <v>1122</v>
      </c>
      <c r="F2498" s="765">
        <v>5927.57</v>
      </c>
    </row>
    <row r="2499" spans="1:6">
      <c r="A2499" s="143">
        <v>11100</v>
      </c>
      <c r="B2499" t="s">
        <v>3376</v>
      </c>
      <c r="C2499" t="s">
        <v>3771</v>
      </c>
      <c r="D2499" s="45" t="s">
        <v>3777</v>
      </c>
      <c r="E2499">
        <v>1122</v>
      </c>
      <c r="F2499" s="765">
        <v>2023.7</v>
      </c>
    </row>
    <row r="2500" spans="1:6">
      <c r="A2500" s="143">
        <v>11100</v>
      </c>
      <c r="B2500" t="s">
        <v>3376</v>
      </c>
      <c r="C2500" t="s">
        <v>3771</v>
      </c>
      <c r="D2500" s="45" t="s">
        <v>3778</v>
      </c>
      <c r="E2500">
        <v>1122</v>
      </c>
      <c r="F2500" s="765">
        <v>2728.74</v>
      </c>
    </row>
    <row r="2501" spans="1:6">
      <c r="A2501" s="143">
        <v>11100</v>
      </c>
      <c r="B2501" t="s">
        <v>3376</v>
      </c>
      <c r="C2501" t="s">
        <v>3771</v>
      </c>
      <c r="D2501" s="45" t="s">
        <v>3779</v>
      </c>
      <c r="E2501">
        <v>1122</v>
      </c>
      <c r="F2501" s="765">
        <v>5741.07</v>
      </c>
    </row>
    <row r="2502" spans="1:6">
      <c r="A2502" s="143">
        <v>11100</v>
      </c>
      <c r="B2502" t="s">
        <v>3376</v>
      </c>
      <c r="C2502" t="s">
        <v>3771</v>
      </c>
      <c r="D2502" s="45" t="s">
        <v>3780</v>
      </c>
      <c r="E2502">
        <v>1122</v>
      </c>
      <c r="F2502" s="765">
        <v>2023.7</v>
      </c>
    </row>
    <row r="2503" spans="1:6">
      <c r="A2503" s="143">
        <v>11100</v>
      </c>
      <c r="B2503" t="s">
        <v>3376</v>
      </c>
      <c r="C2503" t="s">
        <v>3771</v>
      </c>
      <c r="D2503" s="45" t="s">
        <v>3781</v>
      </c>
      <c r="E2503">
        <v>1122</v>
      </c>
      <c r="F2503" s="765">
        <v>2728.74</v>
      </c>
    </row>
    <row r="2504" spans="1:6">
      <c r="A2504" s="143">
        <v>11100</v>
      </c>
      <c r="B2504" t="s">
        <v>3376</v>
      </c>
      <c r="C2504" t="s">
        <v>3771</v>
      </c>
      <c r="D2504" s="45" t="s">
        <v>3782</v>
      </c>
      <c r="E2504">
        <v>1122</v>
      </c>
      <c r="F2504" s="765">
        <v>5592.42</v>
      </c>
    </row>
    <row r="2505" spans="1:6">
      <c r="A2505" s="143">
        <v>11100</v>
      </c>
      <c r="B2505" t="s">
        <v>3376</v>
      </c>
      <c r="C2505" t="s">
        <v>3771</v>
      </c>
      <c r="D2505" s="45" t="s">
        <v>3783</v>
      </c>
      <c r="E2505">
        <v>1122</v>
      </c>
      <c r="F2505" s="765">
        <v>2023.7</v>
      </c>
    </row>
    <row r="2506" spans="1:6">
      <c r="A2506" s="143">
        <v>11100</v>
      </c>
      <c r="B2506" t="s">
        <v>3376</v>
      </c>
      <c r="C2506" t="s">
        <v>3771</v>
      </c>
      <c r="D2506" s="45" t="s">
        <v>3784</v>
      </c>
      <c r="E2506">
        <v>1122</v>
      </c>
      <c r="F2506" s="765">
        <v>2728.74</v>
      </c>
    </row>
    <row r="2507" spans="1:6">
      <c r="A2507" s="143">
        <v>11100</v>
      </c>
      <c r="B2507" t="s">
        <v>3376</v>
      </c>
      <c r="C2507" t="s">
        <v>3771</v>
      </c>
      <c r="D2507" s="45" t="s">
        <v>3785</v>
      </c>
      <c r="E2507">
        <v>1122</v>
      </c>
      <c r="F2507" s="765">
        <v>5443.76</v>
      </c>
    </row>
    <row r="2508" spans="1:6">
      <c r="A2508" s="143">
        <v>11100</v>
      </c>
      <c r="B2508" t="s">
        <v>3376</v>
      </c>
      <c r="C2508" t="s">
        <v>3771</v>
      </c>
      <c r="D2508" s="45" t="s">
        <v>3786</v>
      </c>
      <c r="E2508">
        <v>1122</v>
      </c>
      <c r="F2508" s="765">
        <v>2023.7</v>
      </c>
    </row>
    <row r="2509" spans="1:6">
      <c r="A2509" s="143">
        <v>11100</v>
      </c>
      <c r="B2509" t="s">
        <v>3376</v>
      </c>
      <c r="C2509" t="s">
        <v>3771</v>
      </c>
      <c r="D2509" s="45" t="s">
        <v>3787</v>
      </c>
      <c r="E2509">
        <v>1122</v>
      </c>
      <c r="F2509" s="765">
        <v>2837.88</v>
      </c>
    </row>
    <row r="2510" spans="1:6">
      <c r="A2510" s="143">
        <v>11100</v>
      </c>
      <c r="B2510" t="s">
        <v>3376</v>
      </c>
      <c r="C2510" t="s">
        <v>3771</v>
      </c>
      <c r="D2510" s="45" t="s">
        <v>3788</v>
      </c>
      <c r="E2510">
        <v>1122</v>
      </c>
      <c r="F2510" s="765">
        <v>5363.34</v>
      </c>
    </row>
    <row r="2511" spans="1:6">
      <c r="A2511" s="143">
        <v>11100</v>
      </c>
      <c r="B2511" t="s">
        <v>3376</v>
      </c>
      <c r="C2511" t="s">
        <v>3771</v>
      </c>
      <c r="D2511" s="45" t="s">
        <v>3789</v>
      </c>
      <c r="E2511">
        <v>1122</v>
      </c>
      <c r="F2511" s="765">
        <v>2104.65</v>
      </c>
    </row>
    <row r="2512" spans="1:6">
      <c r="A2512" s="143">
        <v>11100</v>
      </c>
      <c r="B2512" t="s">
        <v>3376</v>
      </c>
      <c r="C2512" t="s">
        <v>3771</v>
      </c>
      <c r="D2512" s="45" t="s">
        <v>3790</v>
      </c>
      <c r="E2512">
        <v>1122</v>
      </c>
      <c r="F2512" s="765">
        <v>2837.88</v>
      </c>
    </row>
    <row r="2513" spans="1:6">
      <c r="A2513" s="143">
        <v>11100</v>
      </c>
      <c r="B2513" t="s">
        <v>3376</v>
      </c>
      <c r="C2513" t="s">
        <v>3771</v>
      </c>
      <c r="D2513" s="45" t="s">
        <v>3791</v>
      </c>
      <c r="E2513">
        <v>1122</v>
      </c>
      <c r="F2513" s="765">
        <v>5495.44</v>
      </c>
    </row>
    <row r="2514" spans="1:6">
      <c r="A2514" s="143">
        <v>11100</v>
      </c>
      <c r="B2514" t="s">
        <v>3376</v>
      </c>
      <c r="C2514" t="s">
        <v>3771</v>
      </c>
      <c r="D2514" s="45" t="s">
        <v>3792</v>
      </c>
      <c r="E2514">
        <v>1122</v>
      </c>
      <c r="F2514" s="765">
        <v>2837.88</v>
      </c>
    </row>
    <row r="2515" spans="1:6">
      <c r="A2515" s="143">
        <v>11100</v>
      </c>
      <c r="B2515" t="s">
        <v>3376</v>
      </c>
      <c r="C2515" t="s">
        <v>3771</v>
      </c>
      <c r="D2515" s="45" t="s">
        <v>3793</v>
      </c>
      <c r="E2515">
        <v>1122</v>
      </c>
      <c r="F2515" s="765">
        <v>5003.57</v>
      </c>
    </row>
    <row r="2516" spans="1:6">
      <c r="A2516" s="143">
        <v>11100</v>
      </c>
      <c r="B2516" t="s">
        <v>3376</v>
      </c>
      <c r="C2516" t="s">
        <v>3771</v>
      </c>
      <c r="D2516" s="45" t="s">
        <v>3794</v>
      </c>
      <c r="E2516">
        <v>1122</v>
      </c>
      <c r="F2516" s="765">
        <v>2104.65</v>
      </c>
    </row>
    <row r="2517" spans="1:6">
      <c r="A2517" s="143">
        <v>11100</v>
      </c>
      <c r="B2517" t="s">
        <v>3376</v>
      </c>
      <c r="C2517" t="s">
        <v>3771</v>
      </c>
      <c r="D2517" s="45" t="s">
        <v>3795</v>
      </c>
      <c r="E2517">
        <v>1122</v>
      </c>
      <c r="F2517" s="765">
        <v>2837.88</v>
      </c>
    </row>
    <row r="2518" spans="1:6">
      <c r="A2518" s="143">
        <v>11100</v>
      </c>
      <c r="B2518" t="s">
        <v>3376</v>
      </c>
      <c r="C2518" t="s">
        <v>3771</v>
      </c>
      <c r="D2518" s="45" t="s">
        <v>3796</v>
      </c>
      <c r="E2518">
        <v>1122</v>
      </c>
      <c r="F2518" s="765">
        <v>5383.01</v>
      </c>
    </row>
    <row r="2519" spans="1:6">
      <c r="A2519" s="143">
        <v>11100</v>
      </c>
      <c r="B2519" t="s">
        <v>3376</v>
      </c>
      <c r="C2519" t="s">
        <v>3771</v>
      </c>
      <c r="D2519" s="45" t="s">
        <v>3797</v>
      </c>
      <c r="E2519">
        <v>1122</v>
      </c>
      <c r="F2519" s="765">
        <v>2104.65</v>
      </c>
    </row>
    <row r="2520" spans="1:6">
      <c r="A2520" s="143">
        <v>11100</v>
      </c>
      <c r="B2520" t="s">
        <v>3376</v>
      </c>
      <c r="C2520" t="s">
        <v>3771</v>
      </c>
      <c r="D2520" s="45" t="s">
        <v>3798</v>
      </c>
      <c r="E2520">
        <v>1122</v>
      </c>
      <c r="F2520" s="765">
        <v>2837.88</v>
      </c>
    </row>
    <row r="2521" spans="1:6">
      <c r="A2521" s="143">
        <v>11100</v>
      </c>
      <c r="B2521" t="s">
        <v>3376</v>
      </c>
      <c r="C2521" t="s">
        <v>3771</v>
      </c>
      <c r="D2521" s="45" t="s">
        <v>3799</v>
      </c>
      <c r="E2521">
        <v>1122</v>
      </c>
      <c r="F2521" s="765">
        <v>6726.52</v>
      </c>
    </row>
    <row r="2522" spans="1:6">
      <c r="A2522" s="143">
        <v>11100</v>
      </c>
      <c r="B2522" t="s">
        <v>3376</v>
      </c>
      <c r="C2522" t="s">
        <v>3771</v>
      </c>
      <c r="D2522" s="45" t="s">
        <v>3800</v>
      </c>
      <c r="E2522">
        <v>1122</v>
      </c>
      <c r="F2522" s="765">
        <v>2104.65</v>
      </c>
    </row>
    <row r="2523" spans="1:6">
      <c r="A2523" s="143">
        <v>11100</v>
      </c>
      <c r="B2523" t="s">
        <v>3376</v>
      </c>
      <c r="C2523" t="s">
        <v>3771</v>
      </c>
      <c r="D2523" s="45" t="s">
        <v>3801</v>
      </c>
      <c r="E2523">
        <v>1122</v>
      </c>
      <c r="F2523" s="765">
        <v>2837.88</v>
      </c>
    </row>
    <row r="2524" spans="1:6">
      <c r="A2524" s="143">
        <v>11100</v>
      </c>
      <c r="B2524" t="s">
        <v>3376</v>
      </c>
      <c r="C2524" t="s">
        <v>3771</v>
      </c>
      <c r="D2524" s="45" t="s">
        <v>3802</v>
      </c>
      <c r="E2524">
        <v>1122</v>
      </c>
      <c r="F2524" s="765">
        <v>4767.47</v>
      </c>
    </row>
    <row r="2525" spans="1:6">
      <c r="A2525" s="143">
        <v>11100</v>
      </c>
      <c r="B2525" t="s">
        <v>3376</v>
      </c>
      <c r="C2525" t="s">
        <v>3771</v>
      </c>
      <c r="D2525" s="45" t="s">
        <v>3803</v>
      </c>
      <c r="E2525">
        <v>1122</v>
      </c>
      <c r="F2525" s="765">
        <v>2104.65</v>
      </c>
    </row>
    <row r="2526" spans="1:6">
      <c r="A2526" s="143">
        <v>11100</v>
      </c>
      <c r="B2526" t="s">
        <v>3376</v>
      </c>
      <c r="C2526" t="s">
        <v>3771</v>
      </c>
      <c r="D2526" s="45" t="s">
        <v>3804</v>
      </c>
      <c r="E2526">
        <v>1122</v>
      </c>
      <c r="F2526" s="765">
        <v>2837.88</v>
      </c>
    </row>
    <row r="2527" spans="1:6">
      <c r="A2527" s="143">
        <v>11100</v>
      </c>
      <c r="B2527" t="s">
        <v>3376</v>
      </c>
      <c r="C2527" t="s">
        <v>3771</v>
      </c>
      <c r="D2527" s="45" t="s">
        <v>3805</v>
      </c>
      <c r="E2527">
        <v>1122</v>
      </c>
      <c r="F2527" s="765">
        <v>4756.2299999999996</v>
      </c>
    </row>
    <row r="2528" spans="1:6">
      <c r="A2528" s="143">
        <v>11100</v>
      </c>
      <c r="B2528" t="s">
        <v>3376</v>
      </c>
      <c r="C2528" t="s">
        <v>3771</v>
      </c>
      <c r="D2528" s="45" t="s">
        <v>3806</v>
      </c>
      <c r="E2528">
        <v>1122</v>
      </c>
      <c r="F2528" s="765">
        <v>2104.65</v>
      </c>
    </row>
    <row r="2529" spans="1:6">
      <c r="A2529" s="143">
        <v>11100</v>
      </c>
      <c r="B2529" t="s">
        <v>3376</v>
      </c>
      <c r="C2529" t="s">
        <v>3771</v>
      </c>
      <c r="D2529" s="45" t="s">
        <v>3807</v>
      </c>
      <c r="E2529">
        <v>1122</v>
      </c>
      <c r="F2529" s="765">
        <v>2837.88</v>
      </c>
    </row>
    <row r="2530" spans="1:6">
      <c r="A2530" s="143">
        <v>11100</v>
      </c>
      <c r="B2530" t="s">
        <v>3376</v>
      </c>
      <c r="C2530" t="s">
        <v>3771</v>
      </c>
      <c r="D2530" s="45" t="s">
        <v>3808</v>
      </c>
      <c r="E2530">
        <v>1122</v>
      </c>
      <c r="F2530" s="765">
        <v>5236.8500000000004</v>
      </c>
    </row>
    <row r="2531" spans="1:6">
      <c r="A2531" s="143">
        <v>11100</v>
      </c>
      <c r="B2531" t="s">
        <v>3376</v>
      </c>
      <c r="C2531" t="s">
        <v>3771</v>
      </c>
      <c r="D2531" s="45" t="s">
        <v>3809</v>
      </c>
      <c r="E2531">
        <v>1122</v>
      </c>
      <c r="F2531" s="765">
        <v>2104.65</v>
      </c>
    </row>
    <row r="2532" spans="1:6">
      <c r="A2532" s="143">
        <v>11100</v>
      </c>
      <c r="B2532" t="s">
        <v>3376</v>
      </c>
      <c r="C2532" t="s">
        <v>3771</v>
      </c>
      <c r="D2532" s="45" t="s">
        <v>3810</v>
      </c>
      <c r="E2532">
        <v>1122</v>
      </c>
      <c r="F2532" s="765">
        <v>2837.88</v>
      </c>
    </row>
    <row r="2533" spans="1:6">
      <c r="A2533" s="143">
        <v>11100</v>
      </c>
      <c r="B2533" t="s">
        <v>3376</v>
      </c>
      <c r="C2533" t="s">
        <v>3771</v>
      </c>
      <c r="D2533" s="45" t="s">
        <v>3811</v>
      </c>
      <c r="E2533">
        <v>1122</v>
      </c>
      <c r="F2533" s="765">
        <v>4879.8999999999996</v>
      </c>
    </row>
    <row r="2534" spans="1:6">
      <c r="A2534" s="143">
        <v>11100</v>
      </c>
      <c r="B2534" t="s">
        <v>3376</v>
      </c>
      <c r="C2534" t="s">
        <v>3771</v>
      </c>
      <c r="D2534" s="45" t="s">
        <v>3812</v>
      </c>
      <c r="E2534">
        <v>1122</v>
      </c>
      <c r="F2534" s="765">
        <v>2104.65</v>
      </c>
    </row>
    <row r="2535" spans="1:6">
      <c r="A2535" s="143">
        <v>11100</v>
      </c>
      <c r="B2535" t="s">
        <v>3376</v>
      </c>
      <c r="C2535" t="s">
        <v>3771</v>
      </c>
      <c r="D2535" s="45" t="s">
        <v>3813</v>
      </c>
      <c r="E2535">
        <v>1122</v>
      </c>
      <c r="F2535" s="765">
        <v>2837.88</v>
      </c>
    </row>
    <row r="2536" spans="1:6">
      <c r="A2536" s="143">
        <v>11100</v>
      </c>
      <c r="B2536" t="s">
        <v>3376</v>
      </c>
      <c r="C2536" t="s">
        <v>3771</v>
      </c>
      <c r="D2536" s="45" t="s">
        <v>3814</v>
      </c>
      <c r="E2536">
        <v>1122</v>
      </c>
      <c r="F2536" s="765">
        <v>4936.1099999999997</v>
      </c>
    </row>
    <row r="2537" spans="1:6">
      <c r="A2537" s="143">
        <v>11100</v>
      </c>
      <c r="B2537" t="s">
        <v>3376</v>
      </c>
      <c r="C2537" t="s">
        <v>3771</v>
      </c>
      <c r="D2537" s="45" t="s">
        <v>3815</v>
      </c>
      <c r="E2537">
        <v>1122</v>
      </c>
      <c r="F2537" s="765">
        <v>2104.65</v>
      </c>
    </row>
    <row r="2538" spans="1:6">
      <c r="A2538" s="143">
        <v>11100</v>
      </c>
      <c r="B2538" t="s">
        <v>3376</v>
      </c>
      <c r="C2538" t="s">
        <v>3771</v>
      </c>
      <c r="D2538" s="45" t="s">
        <v>3816</v>
      </c>
      <c r="E2538">
        <v>1122</v>
      </c>
      <c r="F2538" s="765">
        <v>2837.88</v>
      </c>
    </row>
    <row r="2539" spans="1:6">
      <c r="A2539" s="143">
        <v>11100</v>
      </c>
      <c r="B2539" t="s">
        <v>3376</v>
      </c>
      <c r="C2539" t="s">
        <v>3771</v>
      </c>
      <c r="D2539" s="45" t="s">
        <v>3817</v>
      </c>
      <c r="E2539">
        <v>1122</v>
      </c>
      <c r="F2539" s="765">
        <v>5009.1899999999996</v>
      </c>
    </row>
    <row r="2540" spans="1:6">
      <c r="A2540" s="143">
        <v>11100</v>
      </c>
      <c r="B2540" t="s">
        <v>3376</v>
      </c>
      <c r="C2540" t="s">
        <v>3771</v>
      </c>
      <c r="D2540" s="45" t="s">
        <v>3818</v>
      </c>
      <c r="E2540">
        <v>1122</v>
      </c>
      <c r="F2540" s="765">
        <v>2104.65</v>
      </c>
    </row>
    <row r="2541" spans="1:6">
      <c r="A2541" s="143">
        <v>11100</v>
      </c>
      <c r="B2541" t="s">
        <v>3376</v>
      </c>
      <c r="C2541" t="s">
        <v>3771</v>
      </c>
      <c r="D2541" s="45" t="s">
        <v>3819</v>
      </c>
      <c r="E2541">
        <v>1122</v>
      </c>
      <c r="F2541" s="765">
        <v>2837.88</v>
      </c>
    </row>
    <row r="2542" spans="1:6">
      <c r="A2542" s="143">
        <v>11100</v>
      </c>
      <c r="B2542" t="s">
        <v>3376</v>
      </c>
      <c r="C2542" t="s">
        <v>3771</v>
      </c>
      <c r="D2542" s="45" t="s">
        <v>3820</v>
      </c>
      <c r="E2542">
        <v>1122</v>
      </c>
      <c r="F2542" s="765">
        <v>5003.57</v>
      </c>
    </row>
    <row r="2543" spans="1:6">
      <c r="A2543" s="143">
        <v>11100</v>
      </c>
      <c r="B2543" t="s">
        <v>3376</v>
      </c>
      <c r="C2543" t="s">
        <v>3771</v>
      </c>
      <c r="D2543" s="45" t="s">
        <v>3821</v>
      </c>
      <c r="E2543">
        <v>1122</v>
      </c>
      <c r="F2543" s="765">
        <v>2104.65</v>
      </c>
    </row>
    <row r="2544" spans="1:6">
      <c r="A2544" s="143">
        <v>11100</v>
      </c>
      <c r="B2544" t="s">
        <v>3376</v>
      </c>
      <c r="C2544" t="s">
        <v>3771</v>
      </c>
      <c r="D2544" s="45" t="s">
        <v>3822</v>
      </c>
      <c r="E2544">
        <v>1122</v>
      </c>
      <c r="F2544" s="765">
        <v>2965.57</v>
      </c>
    </row>
    <row r="2545" spans="1:6">
      <c r="A2545" s="143">
        <v>11100</v>
      </c>
      <c r="B2545" t="s">
        <v>3376</v>
      </c>
      <c r="C2545" t="s">
        <v>3771</v>
      </c>
      <c r="D2545" s="45" t="s">
        <v>3823</v>
      </c>
      <c r="E2545">
        <v>1122</v>
      </c>
      <c r="F2545" s="765">
        <v>5657.51</v>
      </c>
    </row>
    <row r="2546" spans="1:6">
      <c r="A2546" s="143">
        <v>11100</v>
      </c>
      <c r="B2546" t="s">
        <v>3376</v>
      </c>
      <c r="C2546" t="s">
        <v>3771</v>
      </c>
      <c r="D2546" s="45" t="s">
        <v>3824</v>
      </c>
      <c r="E2546">
        <v>1122</v>
      </c>
      <c r="F2546" s="765">
        <v>2199.35</v>
      </c>
    </row>
    <row r="2547" spans="1:6">
      <c r="A2547" s="143">
        <v>11100</v>
      </c>
      <c r="B2547" t="s">
        <v>3376</v>
      </c>
      <c r="C2547" t="s">
        <v>3771</v>
      </c>
      <c r="D2547" s="45" t="s">
        <v>3825</v>
      </c>
      <c r="E2547">
        <v>1122</v>
      </c>
      <c r="F2547" s="765">
        <v>2965.57</v>
      </c>
    </row>
    <row r="2548" spans="1:6">
      <c r="A2548" s="143">
        <v>11100</v>
      </c>
      <c r="B2548" t="s">
        <v>3376</v>
      </c>
      <c r="C2548" t="s">
        <v>3771</v>
      </c>
      <c r="D2548" s="45" t="s">
        <v>3826</v>
      </c>
      <c r="E2548">
        <v>1122</v>
      </c>
      <c r="F2548" s="765">
        <v>10826.84</v>
      </c>
    </row>
    <row r="2549" spans="1:6">
      <c r="A2549" s="143">
        <v>11100</v>
      </c>
      <c r="B2549" t="s">
        <v>3376</v>
      </c>
      <c r="C2549" t="s">
        <v>3771</v>
      </c>
      <c r="D2549" s="45" t="s">
        <v>3827</v>
      </c>
      <c r="E2549">
        <v>1122</v>
      </c>
      <c r="F2549" s="765">
        <v>2199.35</v>
      </c>
    </row>
    <row r="2550" spans="1:6">
      <c r="A2550" s="143">
        <v>11100</v>
      </c>
      <c r="B2550" t="s">
        <v>3376</v>
      </c>
      <c r="C2550" t="s">
        <v>3771</v>
      </c>
      <c r="D2550" s="45" t="s">
        <v>3828</v>
      </c>
      <c r="E2550">
        <v>1122</v>
      </c>
      <c r="F2550" s="765">
        <v>2965.57</v>
      </c>
    </row>
    <row r="2551" spans="1:6">
      <c r="A2551" s="143">
        <v>11100</v>
      </c>
      <c r="B2551" t="s">
        <v>3376</v>
      </c>
      <c r="C2551" t="s">
        <v>3771</v>
      </c>
      <c r="D2551" s="45" t="s">
        <v>3829</v>
      </c>
      <c r="E2551">
        <v>1122</v>
      </c>
      <c r="F2551" s="765">
        <v>6568.01</v>
      </c>
    </row>
    <row r="2552" spans="1:6">
      <c r="A2552" s="143">
        <v>11100</v>
      </c>
      <c r="B2552" t="s">
        <v>3376</v>
      </c>
      <c r="C2552" t="s">
        <v>3771</v>
      </c>
      <c r="D2552" s="45" t="s">
        <v>3830</v>
      </c>
      <c r="E2552">
        <v>1122</v>
      </c>
      <c r="F2552" s="765">
        <v>2199.35</v>
      </c>
    </row>
    <row r="2553" spans="1:6">
      <c r="A2553" s="143">
        <v>11100</v>
      </c>
      <c r="B2553" t="s">
        <v>3376</v>
      </c>
      <c r="C2553" t="s">
        <v>3771</v>
      </c>
      <c r="D2553" s="45" t="s">
        <v>3831</v>
      </c>
      <c r="E2553">
        <v>1122</v>
      </c>
      <c r="F2553" s="765">
        <v>2965.57</v>
      </c>
    </row>
    <row r="2554" spans="1:6">
      <c r="A2554" s="143">
        <v>11100</v>
      </c>
      <c r="B2554" t="s">
        <v>3376</v>
      </c>
      <c r="C2554" t="s">
        <v>3771</v>
      </c>
      <c r="D2554" s="45" t="s">
        <v>3832</v>
      </c>
      <c r="E2554">
        <v>1122</v>
      </c>
      <c r="F2554" s="765">
        <v>7070.26</v>
      </c>
    </row>
    <row r="2555" spans="1:6">
      <c r="A2555" s="143">
        <v>11100</v>
      </c>
      <c r="B2555" t="s">
        <v>3376</v>
      </c>
      <c r="C2555" t="s">
        <v>3771</v>
      </c>
      <c r="D2555" s="45" t="s">
        <v>3833</v>
      </c>
      <c r="E2555">
        <v>1122</v>
      </c>
      <c r="F2555" s="765">
        <v>2199.35</v>
      </c>
    </row>
    <row r="2556" spans="1:6">
      <c r="A2556" s="143">
        <v>11100</v>
      </c>
      <c r="B2556" t="s">
        <v>3376</v>
      </c>
      <c r="C2556" t="s">
        <v>3771</v>
      </c>
      <c r="D2556" s="45" t="s">
        <v>3834</v>
      </c>
      <c r="E2556">
        <v>1122</v>
      </c>
      <c r="F2556" s="765">
        <v>2965.57</v>
      </c>
    </row>
    <row r="2557" spans="1:6">
      <c r="A2557" s="143">
        <v>11100</v>
      </c>
      <c r="B2557" t="s">
        <v>3376</v>
      </c>
      <c r="C2557" t="s">
        <v>3771</v>
      </c>
      <c r="D2557" s="45" t="s">
        <v>3835</v>
      </c>
      <c r="E2557">
        <v>1122</v>
      </c>
      <c r="F2557" s="765">
        <v>5713.31</v>
      </c>
    </row>
    <row r="2558" spans="1:6">
      <c r="A2558" s="143">
        <v>11100</v>
      </c>
      <c r="B2558" t="s">
        <v>3376</v>
      </c>
      <c r="C2558" t="s">
        <v>3771</v>
      </c>
      <c r="D2558" s="45" t="s">
        <v>3836</v>
      </c>
      <c r="E2558">
        <v>1122</v>
      </c>
      <c r="F2558" s="765">
        <v>2199.35</v>
      </c>
    </row>
    <row r="2559" spans="1:6">
      <c r="A2559" s="143">
        <v>11100</v>
      </c>
      <c r="B2559" t="s">
        <v>3376</v>
      </c>
      <c r="C2559" t="s">
        <v>3771</v>
      </c>
      <c r="D2559" s="45" t="s">
        <v>3837</v>
      </c>
      <c r="E2559">
        <v>1122</v>
      </c>
      <c r="F2559" s="765">
        <v>2965.57</v>
      </c>
    </row>
    <row r="2560" spans="1:6">
      <c r="A2560" s="143">
        <v>11100</v>
      </c>
      <c r="B2560" t="s">
        <v>3376</v>
      </c>
      <c r="C2560" t="s">
        <v>3771</v>
      </c>
      <c r="D2560" s="45" t="s">
        <v>3838</v>
      </c>
      <c r="E2560">
        <v>1122</v>
      </c>
      <c r="F2560" s="765">
        <v>6215.56</v>
      </c>
    </row>
    <row r="2561" spans="1:6">
      <c r="A2561" s="143">
        <v>11100</v>
      </c>
      <c r="B2561" t="s">
        <v>3376</v>
      </c>
      <c r="C2561" t="s">
        <v>3771</v>
      </c>
      <c r="D2561" s="45" t="s">
        <v>3839</v>
      </c>
      <c r="E2561">
        <v>1122</v>
      </c>
      <c r="F2561" s="765">
        <v>2199.35</v>
      </c>
    </row>
    <row r="2562" spans="1:6">
      <c r="A2562" s="143">
        <v>11100</v>
      </c>
      <c r="B2562" t="s">
        <v>3376</v>
      </c>
      <c r="C2562" t="s">
        <v>3771</v>
      </c>
      <c r="D2562" s="45" t="s">
        <v>3840</v>
      </c>
      <c r="E2562">
        <v>1122</v>
      </c>
      <c r="F2562" s="765">
        <v>2965.57</v>
      </c>
    </row>
    <row r="2563" spans="1:6">
      <c r="A2563" s="143">
        <v>11100</v>
      </c>
      <c r="B2563" t="s">
        <v>3376</v>
      </c>
      <c r="C2563" t="s">
        <v>3771</v>
      </c>
      <c r="D2563" s="45" t="s">
        <v>3841</v>
      </c>
      <c r="E2563">
        <v>1122</v>
      </c>
      <c r="F2563" s="765">
        <v>6612.07</v>
      </c>
    </row>
    <row r="2564" spans="1:6">
      <c r="A2564" s="143">
        <v>11100</v>
      </c>
      <c r="B2564" t="s">
        <v>3376</v>
      </c>
      <c r="C2564" t="s">
        <v>3771</v>
      </c>
      <c r="D2564" s="45" t="s">
        <v>3842</v>
      </c>
      <c r="E2564">
        <v>1122</v>
      </c>
      <c r="F2564" s="765">
        <v>2199.35</v>
      </c>
    </row>
    <row r="2565" spans="1:6">
      <c r="A2565" s="143">
        <v>11100</v>
      </c>
      <c r="B2565" t="s">
        <v>3376</v>
      </c>
      <c r="C2565" t="s">
        <v>3771</v>
      </c>
      <c r="D2565" s="45" t="s">
        <v>3843</v>
      </c>
      <c r="E2565">
        <v>1122</v>
      </c>
      <c r="F2565" s="765">
        <v>2965.57</v>
      </c>
    </row>
    <row r="2566" spans="1:6">
      <c r="A2566" s="143">
        <v>11100</v>
      </c>
      <c r="B2566" t="s">
        <v>3376</v>
      </c>
      <c r="C2566" t="s">
        <v>3771</v>
      </c>
      <c r="D2566" s="45" t="s">
        <v>3844</v>
      </c>
      <c r="E2566">
        <v>1122</v>
      </c>
      <c r="F2566" s="765">
        <v>6024.65</v>
      </c>
    </row>
    <row r="2567" spans="1:6">
      <c r="A2567" s="143">
        <v>11100</v>
      </c>
      <c r="B2567" t="s">
        <v>3376</v>
      </c>
      <c r="C2567" t="s">
        <v>3771</v>
      </c>
      <c r="D2567" s="45" t="s">
        <v>3845</v>
      </c>
      <c r="E2567">
        <v>1122</v>
      </c>
      <c r="F2567" s="765">
        <v>2199.35</v>
      </c>
    </row>
    <row r="2568" spans="1:6">
      <c r="A2568" s="143">
        <v>11100</v>
      </c>
      <c r="B2568" t="s">
        <v>3376</v>
      </c>
      <c r="C2568" t="s">
        <v>3771</v>
      </c>
      <c r="D2568" s="45" t="s">
        <v>3846</v>
      </c>
      <c r="E2568">
        <v>1122</v>
      </c>
      <c r="F2568" s="765">
        <v>2965.57</v>
      </c>
    </row>
    <row r="2569" spans="1:6">
      <c r="A2569" s="143">
        <v>11100</v>
      </c>
      <c r="B2569" t="s">
        <v>3376</v>
      </c>
      <c r="C2569" t="s">
        <v>3771</v>
      </c>
      <c r="D2569" s="45" t="s">
        <v>3847</v>
      </c>
      <c r="E2569">
        <v>1122</v>
      </c>
      <c r="F2569" s="765">
        <v>5863.1</v>
      </c>
    </row>
    <row r="2570" spans="1:6">
      <c r="A2570" s="143">
        <v>11100</v>
      </c>
      <c r="B2570" t="s">
        <v>3376</v>
      </c>
      <c r="C2570" t="s">
        <v>3771</v>
      </c>
      <c r="D2570" s="45" t="s">
        <v>3848</v>
      </c>
      <c r="E2570">
        <v>1122</v>
      </c>
      <c r="F2570" s="765">
        <v>2199.35</v>
      </c>
    </row>
    <row r="2571" spans="1:6">
      <c r="A2571" s="143">
        <v>11100</v>
      </c>
      <c r="B2571" t="s">
        <v>3376</v>
      </c>
      <c r="C2571" t="s">
        <v>3771</v>
      </c>
      <c r="D2571" s="45" t="s">
        <v>3849</v>
      </c>
      <c r="E2571">
        <v>1122</v>
      </c>
      <c r="F2571" s="765">
        <v>6068.7</v>
      </c>
    </row>
    <row r="2572" spans="1:6">
      <c r="A2572" s="143">
        <v>11100</v>
      </c>
      <c r="B2572" t="s">
        <v>3376</v>
      </c>
      <c r="C2572" t="s">
        <v>3771</v>
      </c>
      <c r="D2572" s="45" t="s">
        <v>3850</v>
      </c>
      <c r="E2572">
        <v>1122</v>
      </c>
      <c r="F2572" s="765">
        <v>2199.35</v>
      </c>
    </row>
    <row r="2573" spans="1:6">
      <c r="A2573" s="143">
        <v>11100</v>
      </c>
      <c r="B2573" t="s">
        <v>3376</v>
      </c>
      <c r="C2573" t="s">
        <v>3771</v>
      </c>
      <c r="D2573" s="45" t="s">
        <v>3851</v>
      </c>
      <c r="E2573">
        <v>1122</v>
      </c>
      <c r="F2573" s="765">
        <v>2965.57</v>
      </c>
    </row>
    <row r="2574" spans="1:6">
      <c r="A2574" s="143">
        <v>11100</v>
      </c>
      <c r="B2574" t="s">
        <v>3376</v>
      </c>
      <c r="C2574" t="s">
        <v>3771</v>
      </c>
      <c r="D2574" s="45" t="s">
        <v>3852</v>
      </c>
      <c r="E2574">
        <v>1122</v>
      </c>
      <c r="F2574" s="765">
        <v>5716.25</v>
      </c>
    </row>
    <row r="2575" spans="1:6">
      <c r="A2575" s="143">
        <v>11100</v>
      </c>
      <c r="B2575" t="s">
        <v>3376</v>
      </c>
      <c r="C2575" t="s">
        <v>3771</v>
      </c>
      <c r="D2575" s="45" t="s">
        <v>3853</v>
      </c>
      <c r="E2575">
        <v>1122</v>
      </c>
      <c r="F2575" s="765">
        <v>2199.35</v>
      </c>
    </row>
    <row r="2576" spans="1:6">
      <c r="A2576" s="143">
        <v>11100</v>
      </c>
      <c r="B2576" t="s">
        <v>3376</v>
      </c>
      <c r="C2576" t="s">
        <v>3771</v>
      </c>
      <c r="D2576" s="45" t="s">
        <v>3854</v>
      </c>
      <c r="E2576">
        <v>1122</v>
      </c>
      <c r="F2576" s="765">
        <v>2965.57</v>
      </c>
    </row>
    <row r="2577" spans="1:6">
      <c r="A2577" s="143">
        <v>11100</v>
      </c>
      <c r="B2577" t="s">
        <v>3376</v>
      </c>
      <c r="C2577" t="s">
        <v>3771</v>
      </c>
      <c r="D2577" s="45" t="s">
        <v>3855</v>
      </c>
      <c r="E2577">
        <v>1122</v>
      </c>
      <c r="F2577" s="765">
        <v>2837.87</v>
      </c>
    </row>
    <row r="2578" spans="1:6">
      <c r="A2578" s="143">
        <v>11100</v>
      </c>
      <c r="B2578" t="s">
        <v>3376</v>
      </c>
      <c r="C2578" t="s">
        <v>3771</v>
      </c>
      <c r="D2578" s="45" t="s">
        <v>3856</v>
      </c>
      <c r="E2578">
        <v>1122</v>
      </c>
      <c r="F2578" s="765">
        <v>2199.35</v>
      </c>
    </row>
    <row r="2579" spans="1:6">
      <c r="A2579" s="143">
        <v>11100</v>
      </c>
      <c r="B2579" t="s">
        <v>3376</v>
      </c>
      <c r="C2579" t="s">
        <v>3771</v>
      </c>
      <c r="D2579" s="45" t="s">
        <v>3857</v>
      </c>
      <c r="E2579">
        <v>1122</v>
      </c>
      <c r="F2579" s="765">
        <v>3084.17</v>
      </c>
    </row>
    <row r="2580" spans="1:6">
      <c r="A2580" s="143">
        <v>11100</v>
      </c>
      <c r="B2580" t="s">
        <v>3376</v>
      </c>
      <c r="C2580" t="s">
        <v>3771</v>
      </c>
      <c r="D2580" s="45" t="s">
        <v>3858</v>
      </c>
      <c r="E2580">
        <v>1122</v>
      </c>
      <c r="F2580" s="765">
        <v>6066.73</v>
      </c>
    </row>
    <row r="2581" spans="1:6">
      <c r="A2581" s="143">
        <v>11100</v>
      </c>
      <c r="B2581" t="s">
        <v>3376</v>
      </c>
      <c r="C2581" t="s">
        <v>3771</v>
      </c>
      <c r="D2581" s="45" t="s">
        <v>3859</v>
      </c>
      <c r="E2581">
        <v>1122</v>
      </c>
      <c r="F2581" s="765">
        <v>2287.31</v>
      </c>
    </row>
    <row r="2582" spans="1:6">
      <c r="A2582" s="143">
        <v>11100</v>
      </c>
      <c r="B2582" t="s">
        <v>3376</v>
      </c>
      <c r="C2582" t="s">
        <v>3771</v>
      </c>
      <c r="D2582" s="45" t="s">
        <v>3860</v>
      </c>
      <c r="E2582">
        <v>1122</v>
      </c>
      <c r="F2582" s="765">
        <v>3084.17</v>
      </c>
    </row>
    <row r="2583" spans="1:6">
      <c r="A2583" s="143">
        <v>11100</v>
      </c>
      <c r="B2583" t="s">
        <v>3376</v>
      </c>
      <c r="C2583" t="s">
        <v>3771</v>
      </c>
      <c r="D2583" s="45" t="s">
        <v>3861</v>
      </c>
      <c r="E2583">
        <v>1122</v>
      </c>
      <c r="F2583" s="765">
        <v>2287.31</v>
      </c>
    </row>
    <row r="2584" spans="1:6">
      <c r="A2584" s="143">
        <v>11100</v>
      </c>
      <c r="B2584" t="s">
        <v>3376</v>
      </c>
      <c r="C2584" t="s">
        <v>3771</v>
      </c>
      <c r="D2584" s="45" t="s">
        <v>3862</v>
      </c>
      <c r="E2584">
        <v>1122</v>
      </c>
      <c r="F2584" s="765">
        <v>5944.56</v>
      </c>
    </row>
    <row r="2585" spans="1:6">
      <c r="A2585" s="143">
        <v>11100</v>
      </c>
      <c r="B2585" t="s">
        <v>3376</v>
      </c>
      <c r="C2585" t="s">
        <v>3771</v>
      </c>
      <c r="D2585" s="45" t="s">
        <v>3863</v>
      </c>
      <c r="E2585">
        <v>1122</v>
      </c>
      <c r="F2585" s="765">
        <v>3084.17</v>
      </c>
    </row>
    <row r="2586" spans="1:6">
      <c r="A2586" s="143">
        <v>11100</v>
      </c>
      <c r="B2586" t="s">
        <v>3376</v>
      </c>
      <c r="C2586" t="s">
        <v>3771</v>
      </c>
      <c r="D2586" s="45" t="s">
        <v>3864</v>
      </c>
      <c r="E2586">
        <v>1122</v>
      </c>
      <c r="F2586" s="765">
        <v>2951.36</v>
      </c>
    </row>
    <row r="2587" spans="1:6">
      <c r="A2587" s="143">
        <v>11100</v>
      </c>
      <c r="B2587" t="s">
        <v>3376</v>
      </c>
      <c r="C2587" t="s">
        <v>3771</v>
      </c>
      <c r="D2587" s="45" t="s">
        <v>3865</v>
      </c>
      <c r="E2587">
        <v>1122</v>
      </c>
      <c r="F2587" s="765">
        <v>2287.31</v>
      </c>
    </row>
    <row r="2588" spans="1:6">
      <c r="A2588" s="143">
        <v>11100</v>
      </c>
      <c r="B2588" t="s">
        <v>3376</v>
      </c>
      <c r="C2588" t="s">
        <v>3771</v>
      </c>
      <c r="D2588" s="45" t="s">
        <v>3866</v>
      </c>
      <c r="E2588">
        <v>1122</v>
      </c>
      <c r="F2588" s="765">
        <v>3084.17</v>
      </c>
    </row>
    <row r="2589" spans="1:6">
      <c r="A2589" s="143">
        <v>11100</v>
      </c>
      <c r="B2589" t="s">
        <v>3376</v>
      </c>
      <c r="C2589" t="s">
        <v>3771</v>
      </c>
      <c r="D2589" s="45" t="s">
        <v>3867</v>
      </c>
      <c r="E2589">
        <v>1122</v>
      </c>
      <c r="F2589" s="765">
        <v>6311.07</v>
      </c>
    </row>
    <row r="2590" spans="1:6">
      <c r="A2590" s="143">
        <v>11100</v>
      </c>
      <c r="B2590" t="s">
        <v>3376</v>
      </c>
      <c r="C2590" t="s">
        <v>3771</v>
      </c>
      <c r="D2590" s="45" t="s">
        <v>3868</v>
      </c>
      <c r="E2590">
        <v>1122</v>
      </c>
      <c r="F2590" s="765">
        <v>2287.31</v>
      </c>
    </row>
    <row r="2591" spans="1:6">
      <c r="A2591" s="143">
        <v>11100</v>
      </c>
      <c r="B2591" t="s">
        <v>3376</v>
      </c>
      <c r="C2591" t="s">
        <v>3771</v>
      </c>
      <c r="D2591" s="45" t="s">
        <v>3869</v>
      </c>
      <c r="E2591">
        <v>1122</v>
      </c>
      <c r="F2591" s="765">
        <v>3084.17</v>
      </c>
    </row>
    <row r="2592" spans="1:6">
      <c r="A2592" s="143">
        <v>11100</v>
      </c>
      <c r="B2592" t="s">
        <v>3376</v>
      </c>
      <c r="C2592" t="s">
        <v>3771</v>
      </c>
      <c r="D2592" s="45" t="s">
        <v>3870</v>
      </c>
      <c r="E2592">
        <v>1122</v>
      </c>
      <c r="F2592" s="765">
        <v>5333.7</v>
      </c>
    </row>
    <row r="2593" spans="1:6">
      <c r="A2593" s="143">
        <v>11100</v>
      </c>
      <c r="B2593" t="s">
        <v>3376</v>
      </c>
      <c r="C2593" t="s">
        <v>3771</v>
      </c>
      <c r="D2593" s="45" t="s">
        <v>3871</v>
      </c>
      <c r="E2593">
        <v>1122</v>
      </c>
      <c r="F2593" s="765">
        <v>2287.31</v>
      </c>
    </row>
    <row r="2594" spans="1:6">
      <c r="A2594" s="143">
        <v>11100</v>
      </c>
      <c r="B2594" t="s">
        <v>3376</v>
      </c>
      <c r="C2594" t="s">
        <v>3771</v>
      </c>
      <c r="D2594" s="45" t="s">
        <v>3872</v>
      </c>
      <c r="E2594">
        <v>1122</v>
      </c>
      <c r="F2594" s="765">
        <v>3084.17</v>
      </c>
    </row>
    <row r="2595" spans="1:6">
      <c r="A2595" s="143">
        <v>11100</v>
      </c>
      <c r="B2595" t="s">
        <v>3376</v>
      </c>
      <c r="C2595" t="s">
        <v>3771</v>
      </c>
      <c r="D2595" s="45" t="s">
        <v>3873</v>
      </c>
      <c r="E2595">
        <v>1122</v>
      </c>
      <c r="F2595" s="765">
        <v>2951.36</v>
      </c>
    </row>
    <row r="2596" spans="1:6">
      <c r="A2596" s="143">
        <v>11123</v>
      </c>
      <c r="B2596" t="s">
        <v>3377</v>
      </c>
      <c r="C2596" t="s">
        <v>3505</v>
      </c>
      <c r="D2596" s="45" t="s">
        <v>3874</v>
      </c>
      <c r="E2596">
        <v>1122</v>
      </c>
      <c r="F2596" s="765">
        <v>1788.62</v>
      </c>
    </row>
    <row r="2597" spans="1:6">
      <c r="A2597" s="143">
        <v>11123</v>
      </c>
      <c r="B2597" t="s">
        <v>3377</v>
      </c>
      <c r="C2597" t="s">
        <v>3505</v>
      </c>
      <c r="D2597" s="45" t="s">
        <v>3875</v>
      </c>
      <c r="E2597">
        <v>1122</v>
      </c>
      <c r="F2597" s="765">
        <v>168.81</v>
      </c>
    </row>
    <row r="2598" spans="1:6">
      <c r="A2598" s="143">
        <v>11123</v>
      </c>
      <c r="B2598" t="s">
        <v>3377</v>
      </c>
      <c r="C2598" t="s">
        <v>3505</v>
      </c>
      <c r="D2598" s="45" t="s">
        <v>3876</v>
      </c>
      <c r="E2598">
        <v>1122</v>
      </c>
      <c r="F2598" s="765">
        <v>184.16</v>
      </c>
    </row>
    <row r="2599" spans="1:6">
      <c r="A2599" s="143">
        <v>11123</v>
      </c>
      <c r="B2599" t="s">
        <v>3377</v>
      </c>
      <c r="C2599" t="s">
        <v>3505</v>
      </c>
      <c r="D2599" s="45" t="s">
        <v>3877</v>
      </c>
      <c r="E2599">
        <v>1122</v>
      </c>
      <c r="F2599" s="765">
        <v>8795.2199999999993</v>
      </c>
    </row>
    <row r="2600" spans="1:6">
      <c r="A2600" s="143">
        <v>11127</v>
      </c>
      <c r="B2600" t="s">
        <v>3378</v>
      </c>
      <c r="C2600" t="s">
        <v>3878</v>
      </c>
      <c r="D2600" s="45" t="s">
        <v>3879</v>
      </c>
      <c r="E2600">
        <v>1122</v>
      </c>
      <c r="F2600" s="765">
        <v>842.52</v>
      </c>
    </row>
    <row r="2601" spans="1:6">
      <c r="A2601" s="143">
        <v>11295</v>
      </c>
      <c r="B2601" t="s">
        <v>3381</v>
      </c>
      <c r="C2601" t="s">
        <v>3507</v>
      </c>
      <c r="D2601" s="45" t="s">
        <v>3880</v>
      </c>
      <c r="E2601">
        <v>1122</v>
      </c>
      <c r="F2601" s="765">
        <v>4202.95</v>
      </c>
    </row>
    <row r="2602" spans="1:6">
      <c r="A2602" s="143">
        <v>11295</v>
      </c>
      <c r="B2602" t="s">
        <v>3381</v>
      </c>
      <c r="C2602" t="s">
        <v>3507</v>
      </c>
      <c r="D2602" s="45" t="s">
        <v>3881</v>
      </c>
      <c r="E2602">
        <v>1122</v>
      </c>
      <c r="F2602" s="765">
        <v>3408.59</v>
      </c>
    </row>
    <row r="2603" spans="1:6">
      <c r="A2603" s="143">
        <v>11312</v>
      </c>
      <c r="B2603" t="s">
        <v>3382</v>
      </c>
      <c r="C2603" t="s">
        <v>3508</v>
      </c>
      <c r="D2603" s="45" t="s">
        <v>3882</v>
      </c>
      <c r="E2603">
        <v>1122</v>
      </c>
      <c r="F2603" s="765">
        <v>8072.51</v>
      </c>
    </row>
    <row r="2604" spans="1:6">
      <c r="A2604" s="143">
        <v>11321</v>
      </c>
      <c r="B2604" t="s">
        <v>3383</v>
      </c>
      <c r="C2604" t="s">
        <v>3449</v>
      </c>
      <c r="D2604" s="45" t="s">
        <v>3883</v>
      </c>
      <c r="E2604">
        <v>1122</v>
      </c>
      <c r="F2604" s="765">
        <v>4095.97</v>
      </c>
    </row>
    <row r="2605" spans="1:6">
      <c r="A2605" s="143">
        <v>11341</v>
      </c>
      <c r="B2605" t="s">
        <v>3385</v>
      </c>
      <c r="C2605" t="s">
        <v>3884</v>
      </c>
      <c r="D2605" s="45" t="s">
        <v>3885</v>
      </c>
      <c r="E2605">
        <v>1122</v>
      </c>
      <c r="F2605" s="765">
        <v>1697.42</v>
      </c>
    </row>
    <row r="2606" spans="1:6">
      <c r="A2606" s="143">
        <v>11423</v>
      </c>
      <c r="B2606" t="s">
        <v>3389</v>
      </c>
      <c r="C2606" t="s">
        <v>3510</v>
      </c>
      <c r="D2606" s="45" t="s">
        <v>3886</v>
      </c>
      <c r="E2606">
        <v>1122</v>
      </c>
      <c r="F2606" s="765">
        <v>6970.76</v>
      </c>
    </row>
    <row r="2607" spans="1:6">
      <c r="A2607" s="143">
        <v>11423</v>
      </c>
      <c r="B2607" t="s">
        <v>3389</v>
      </c>
      <c r="C2607" t="s">
        <v>3510</v>
      </c>
      <c r="D2607" s="45" t="s">
        <v>3887</v>
      </c>
      <c r="E2607">
        <v>1122</v>
      </c>
      <c r="F2607" s="765">
        <v>6031.42</v>
      </c>
    </row>
    <row r="2608" spans="1:6">
      <c r="A2608" s="143">
        <v>11423</v>
      </c>
      <c r="B2608" t="s">
        <v>3389</v>
      </c>
      <c r="C2608" t="s">
        <v>3510</v>
      </c>
      <c r="D2608" s="45" t="s">
        <v>3888</v>
      </c>
      <c r="E2608">
        <v>1122</v>
      </c>
      <c r="F2608" s="765">
        <v>1502.75</v>
      </c>
    </row>
    <row r="2609" spans="1:6">
      <c r="A2609" s="143">
        <v>11441</v>
      </c>
      <c r="B2609" t="s">
        <v>3432</v>
      </c>
      <c r="C2609" t="s">
        <v>3433</v>
      </c>
      <c r="D2609" s="45" t="s">
        <v>3889</v>
      </c>
      <c r="E2609">
        <v>1122</v>
      </c>
      <c r="F2609" s="765">
        <v>4889.04</v>
      </c>
    </row>
    <row r="2610" spans="1:6">
      <c r="A2610" s="143">
        <v>11441</v>
      </c>
      <c r="B2610" t="s">
        <v>3432</v>
      </c>
      <c r="C2610" t="s">
        <v>3433</v>
      </c>
      <c r="D2610" s="45" t="s">
        <v>3890</v>
      </c>
      <c r="E2610">
        <v>1122</v>
      </c>
      <c r="F2610" s="765">
        <v>4889.04</v>
      </c>
    </row>
    <row r="2611" spans="1:6">
      <c r="A2611" s="143">
        <v>11441</v>
      </c>
      <c r="B2611" t="s">
        <v>3432</v>
      </c>
      <c r="C2611" t="s">
        <v>3433</v>
      </c>
      <c r="D2611" s="45" t="s">
        <v>3891</v>
      </c>
      <c r="E2611">
        <v>1122</v>
      </c>
      <c r="F2611" s="765">
        <v>4889.04</v>
      </c>
    </row>
    <row r="2612" spans="1:6">
      <c r="A2612" s="143">
        <v>11441</v>
      </c>
      <c r="B2612" t="s">
        <v>3432</v>
      </c>
      <c r="C2612" t="s">
        <v>3433</v>
      </c>
      <c r="D2612" s="45" t="s">
        <v>3892</v>
      </c>
      <c r="E2612">
        <v>1122</v>
      </c>
      <c r="F2612" s="765">
        <v>4889.04</v>
      </c>
    </row>
    <row r="2613" spans="1:6">
      <c r="A2613" s="143">
        <v>11441</v>
      </c>
      <c r="B2613" t="s">
        <v>3432</v>
      </c>
      <c r="C2613" t="s">
        <v>3433</v>
      </c>
      <c r="D2613" s="45" t="s">
        <v>3893</v>
      </c>
      <c r="E2613">
        <v>1122</v>
      </c>
      <c r="F2613" s="765">
        <v>4889.04</v>
      </c>
    </row>
    <row r="2614" spans="1:6">
      <c r="A2614" s="143">
        <v>11441</v>
      </c>
      <c r="B2614" t="s">
        <v>3432</v>
      </c>
      <c r="C2614" t="s">
        <v>3433</v>
      </c>
      <c r="D2614" s="45" t="s">
        <v>3894</v>
      </c>
      <c r="E2614">
        <v>1122</v>
      </c>
      <c r="F2614" s="765">
        <v>4889.04</v>
      </c>
    </row>
    <row r="2615" spans="1:6">
      <c r="A2615" s="143">
        <v>11448</v>
      </c>
      <c r="B2615" t="s">
        <v>3390</v>
      </c>
      <c r="C2615" t="s">
        <v>3511</v>
      </c>
      <c r="D2615" s="45" t="s">
        <v>3895</v>
      </c>
      <c r="E2615">
        <v>1122</v>
      </c>
      <c r="F2615" s="765">
        <v>3836.76</v>
      </c>
    </row>
    <row r="2616" spans="1:6">
      <c r="A2616" s="143">
        <v>11472</v>
      </c>
      <c r="B2616" t="s">
        <v>3391</v>
      </c>
      <c r="C2616" t="s">
        <v>3733</v>
      </c>
      <c r="D2616" s="45" t="s">
        <v>3896</v>
      </c>
      <c r="E2616">
        <v>1122</v>
      </c>
      <c r="F2616" s="765">
        <v>10789.44</v>
      </c>
    </row>
    <row r="2617" spans="1:6">
      <c r="A2617" s="143">
        <v>11472</v>
      </c>
      <c r="B2617" t="s">
        <v>3391</v>
      </c>
      <c r="C2617" t="s">
        <v>3733</v>
      </c>
      <c r="D2617" s="45" t="s">
        <v>3897</v>
      </c>
      <c r="E2617">
        <v>1122</v>
      </c>
      <c r="F2617" s="765">
        <v>11615.22</v>
      </c>
    </row>
    <row r="2618" spans="1:6">
      <c r="A2618" s="143">
        <v>11472</v>
      </c>
      <c r="B2618" t="s">
        <v>3391</v>
      </c>
      <c r="C2618" t="s">
        <v>3733</v>
      </c>
      <c r="D2618" s="45" t="s">
        <v>3898</v>
      </c>
      <c r="E2618">
        <v>1122</v>
      </c>
      <c r="F2618" s="765">
        <v>8947.31</v>
      </c>
    </row>
    <row r="2619" spans="1:6">
      <c r="A2619" s="143">
        <v>11472</v>
      </c>
      <c r="B2619" t="s">
        <v>3391</v>
      </c>
      <c r="C2619" t="s">
        <v>3733</v>
      </c>
      <c r="D2619" s="45" t="s">
        <v>3899</v>
      </c>
      <c r="E2619">
        <v>1122</v>
      </c>
      <c r="F2619" s="765">
        <v>10598.87</v>
      </c>
    </row>
    <row r="2620" spans="1:6">
      <c r="A2620" s="143">
        <v>11472</v>
      </c>
      <c r="B2620" t="s">
        <v>3391</v>
      </c>
      <c r="C2620" t="s">
        <v>3733</v>
      </c>
      <c r="D2620" s="45" t="s">
        <v>3900</v>
      </c>
      <c r="E2620">
        <v>1122</v>
      </c>
      <c r="F2620" s="765">
        <v>10313.030000000001</v>
      </c>
    </row>
    <row r="2621" spans="1:6">
      <c r="A2621" s="143">
        <v>11472</v>
      </c>
      <c r="B2621" t="s">
        <v>3391</v>
      </c>
      <c r="C2621" t="s">
        <v>3733</v>
      </c>
      <c r="D2621" s="45" t="s">
        <v>3901</v>
      </c>
      <c r="E2621">
        <v>1122</v>
      </c>
      <c r="F2621" s="765">
        <v>9550.77</v>
      </c>
    </row>
    <row r="2622" spans="1:6">
      <c r="A2622" s="143">
        <v>11472</v>
      </c>
      <c r="B2622" t="s">
        <v>3391</v>
      </c>
      <c r="C2622" t="s">
        <v>3733</v>
      </c>
      <c r="D2622" s="45" t="s">
        <v>3902</v>
      </c>
      <c r="E2622">
        <v>1122</v>
      </c>
      <c r="F2622" s="765">
        <v>9741.33</v>
      </c>
    </row>
    <row r="2623" spans="1:6">
      <c r="A2623" s="143">
        <v>11472</v>
      </c>
      <c r="B2623" t="s">
        <v>3391</v>
      </c>
      <c r="C2623" t="s">
        <v>3733</v>
      </c>
      <c r="D2623" s="45" t="s">
        <v>3903</v>
      </c>
      <c r="E2623">
        <v>1122</v>
      </c>
      <c r="F2623" s="765">
        <v>9010.83</v>
      </c>
    </row>
    <row r="2624" spans="1:6">
      <c r="A2624" s="143">
        <v>11472</v>
      </c>
      <c r="B2624" t="s">
        <v>3391</v>
      </c>
      <c r="C2624" t="s">
        <v>3733</v>
      </c>
      <c r="D2624" s="45" t="s">
        <v>3904</v>
      </c>
      <c r="E2624">
        <v>1122</v>
      </c>
      <c r="F2624" s="765">
        <v>9010.83</v>
      </c>
    </row>
    <row r="2625" spans="1:6">
      <c r="A2625" s="143">
        <v>11472</v>
      </c>
      <c r="B2625" t="s">
        <v>3391</v>
      </c>
      <c r="C2625" t="s">
        <v>3733</v>
      </c>
      <c r="D2625" s="45" t="s">
        <v>3905</v>
      </c>
      <c r="E2625">
        <v>1122</v>
      </c>
      <c r="F2625" s="765">
        <v>13692.14</v>
      </c>
    </row>
    <row r="2626" spans="1:6">
      <c r="A2626" s="143">
        <v>11472</v>
      </c>
      <c r="B2626" t="s">
        <v>3391</v>
      </c>
      <c r="C2626" t="s">
        <v>3733</v>
      </c>
      <c r="D2626" s="45" t="s">
        <v>3906</v>
      </c>
      <c r="E2626">
        <v>1122</v>
      </c>
      <c r="F2626" s="765">
        <v>12267.57</v>
      </c>
    </row>
    <row r="2627" spans="1:6">
      <c r="A2627" s="143">
        <v>11472</v>
      </c>
      <c r="B2627" t="s">
        <v>3391</v>
      </c>
      <c r="C2627" t="s">
        <v>3733</v>
      </c>
      <c r="D2627" s="45" t="s">
        <v>3907</v>
      </c>
      <c r="E2627">
        <v>1122</v>
      </c>
      <c r="F2627" s="765">
        <v>20407.98</v>
      </c>
    </row>
    <row r="2628" spans="1:6">
      <c r="A2628" s="143">
        <v>11472</v>
      </c>
      <c r="B2628" t="s">
        <v>3391</v>
      </c>
      <c r="C2628" t="s">
        <v>3733</v>
      </c>
      <c r="D2628" s="45" t="s">
        <v>3908</v>
      </c>
      <c r="E2628">
        <v>1122</v>
      </c>
      <c r="F2628" s="765">
        <v>17949.96</v>
      </c>
    </row>
    <row r="2629" spans="1:6">
      <c r="A2629" s="143">
        <v>11485</v>
      </c>
      <c r="B2629" t="s">
        <v>3596</v>
      </c>
      <c r="C2629" t="s">
        <v>3597</v>
      </c>
      <c r="D2629" s="45" t="s">
        <v>3909</v>
      </c>
      <c r="E2629">
        <v>1122</v>
      </c>
      <c r="F2629" s="765">
        <v>3153.08</v>
      </c>
    </row>
    <row r="2630" spans="1:6">
      <c r="A2630" s="143">
        <v>11485</v>
      </c>
      <c r="B2630" t="s">
        <v>3596</v>
      </c>
      <c r="C2630" t="s">
        <v>3597</v>
      </c>
      <c r="D2630" s="45" t="s">
        <v>3910</v>
      </c>
      <c r="E2630">
        <v>1122</v>
      </c>
      <c r="F2630" s="765">
        <v>3153.08</v>
      </c>
    </row>
    <row r="2631" spans="1:6">
      <c r="A2631" s="143">
        <v>11573</v>
      </c>
      <c r="B2631" t="s">
        <v>3417</v>
      </c>
      <c r="C2631" t="s">
        <v>3457</v>
      </c>
      <c r="D2631" s="45" t="s">
        <v>3911</v>
      </c>
      <c r="E2631">
        <v>1122</v>
      </c>
      <c r="F2631" s="765">
        <v>17713.900000000001</v>
      </c>
    </row>
    <row r="2632" spans="1:6">
      <c r="A2632" s="143">
        <v>11573</v>
      </c>
      <c r="B2632" t="s">
        <v>3417</v>
      </c>
      <c r="C2632" t="s">
        <v>3457</v>
      </c>
      <c r="D2632" s="45" t="s">
        <v>3912</v>
      </c>
      <c r="E2632">
        <v>1122</v>
      </c>
      <c r="F2632" s="765">
        <v>17713.900000000001</v>
      </c>
    </row>
    <row r="2633" spans="1:6">
      <c r="A2633" s="143">
        <v>11604</v>
      </c>
      <c r="B2633" t="s">
        <v>3477</v>
      </c>
      <c r="C2633" t="s">
        <v>3478</v>
      </c>
      <c r="D2633" s="45" t="s">
        <v>3913</v>
      </c>
      <c r="E2633">
        <v>1122</v>
      </c>
      <c r="F2633" s="765">
        <v>5108.22</v>
      </c>
    </row>
    <row r="2634" spans="1:6">
      <c r="A2634" s="143">
        <v>11604</v>
      </c>
      <c r="B2634" t="s">
        <v>3477</v>
      </c>
      <c r="C2634" t="s">
        <v>3478</v>
      </c>
      <c r="D2634" s="45" t="s">
        <v>3914</v>
      </c>
      <c r="E2634">
        <v>1122</v>
      </c>
      <c r="F2634" s="765">
        <v>5089.78</v>
      </c>
    </row>
    <row r="2635" spans="1:6">
      <c r="A2635" s="143">
        <v>11604</v>
      </c>
      <c r="B2635" t="s">
        <v>3477</v>
      </c>
      <c r="C2635" t="s">
        <v>3478</v>
      </c>
      <c r="D2635" s="45" t="s">
        <v>3915</v>
      </c>
      <c r="E2635">
        <v>1122</v>
      </c>
      <c r="F2635" s="765">
        <v>6868.38</v>
      </c>
    </row>
    <row r="2636" spans="1:6">
      <c r="A2636" s="143">
        <v>11604</v>
      </c>
      <c r="B2636" t="s">
        <v>3477</v>
      </c>
      <c r="C2636" t="s">
        <v>3478</v>
      </c>
      <c r="D2636" s="45" t="s">
        <v>3916</v>
      </c>
      <c r="E2636">
        <v>1122</v>
      </c>
      <c r="F2636" s="765">
        <v>7249.51</v>
      </c>
    </row>
    <row r="2637" spans="1:6">
      <c r="A2637" s="143">
        <v>11604</v>
      </c>
      <c r="B2637" t="s">
        <v>3477</v>
      </c>
      <c r="C2637" t="s">
        <v>3478</v>
      </c>
      <c r="D2637" s="45" t="s">
        <v>3917</v>
      </c>
      <c r="E2637">
        <v>1122</v>
      </c>
      <c r="F2637" s="765">
        <v>6646.06</v>
      </c>
    </row>
    <row r="2638" spans="1:6">
      <c r="A2638" s="143">
        <v>11604</v>
      </c>
      <c r="B2638" t="s">
        <v>3477</v>
      </c>
      <c r="C2638" t="s">
        <v>3478</v>
      </c>
      <c r="D2638" s="45" t="s">
        <v>3918</v>
      </c>
      <c r="E2638">
        <v>1122</v>
      </c>
      <c r="F2638" s="765">
        <v>14868.96</v>
      </c>
    </row>
    <row r="2639" spans="1:6">
      <c r="A2639" s="143">
        <v>11604</v>
      </c>
      <c r="B2639" t="s">
        <v>3477</v>
      </c>
      <c r="C2639" t="s">
        <v>3478</v>
      </c>
      <c r="D2639" s="45" t="s">
        <v>3919</v>
      </c>
      <c r="E2639">
        <v>1122</v>
      </c>
      <c r="F2639" s="765">
        <v>3374.7</v>
      </c>
    </row>
    <row r="2640" spans="1:6">
      <c r="A2640" s="143">
        <v>11604</v>
      </c>
      <c r="B2640" t="s">
        <v>3477</v>
      </c>
      <c r="C2640" t="s">
        <v>3478</v>
      </c>
      <c r="D2640" s="45" t="s">
        <v>3920</v>
      </c>
      <c r="E2640">
        <v>1122</v>
      </c>
      <c r="F2640" s="765">
        <v>3342.93</v>
      </c>
    </row>
    <row r="2641" spans="1:6">
      <c r="A2641" s="143">
        <v>11604</v>
      </c>
      <c r="B2641" t="s">
        <v>3477</v>
      </c>
      <c r="C2641" t="s">
        <v>3478</v>
      </c>
      <c r="D2641" s="45" t="s">
        <v>3921</v>
      </c>
      <c r="E2641">
        <v>1122</v>
      </c>
      <c r="F2641" s="765">
        <v>1818.42</v>
      </c>
    </row>
    <row r="2642" spans="1:6">
      <c r="A2642" s="143">
        <v>11604</v>
      </c>
      <c r="B2642" t="s">
        <v>3477</v>
      </c>
      <c r="C2642" t="s">
        <v>3478</v>
      </c>
      <c r="D2642" s="45" t="s">
        <v>3922</v>
      </c>
      <c r="E2642">
        <v>1122</v>
      </c>
      <c r="F2642" s="765">
        <v>704.56</v>
      </c>
    </row>
    <row r="2643" spans="1:6">
      <c r="A2643" s="143">
        <v>11669</v>
      </c>
      <c r="B2643" t="s">
        <v>1140</v>
      </c>
      <c r="C2643" t="s">
        <v>3632</v>
      </c>
      <c r="D2643" s="45" t="s">
        <v>3684</v>
      </c>
      <c r="E2643">
        <v>1122</v>
      </c>
      <c r="F2643" s="765">
        <v>1373.91</v>
      </c>
    </row>
    <row r="2644" spans="1:6">
      <c r="A2644" s="143">
        <v>11669</v>
      </c>
      <c r="B2644" t="s">
        <v>1140</v>
      </c>
      <c r="C2644" t="s">
        <v>3632</v>
      </c>
      <c r="D2644" s="45" t="s">
        <v>3923</v>
      </c>
      <c r="E2644">
        <v>1122</v>
      </c>
      <c r="F2644" s="765">
        <v>1840.82</v>
      </c>
    </row>
    <row r="2645" spans="1:6">
      <c r="A2645" s="143">
        <v>11723</v>
      </c>
      <c r="B2645" t="s">
        <v>2844</v>
      </c>
      <c r="C2645" t="s">
        <v>3459</v>
      </c>
      <c r="D2645" s="45" t="s">
        <v>3924</v>
      </c>
      <c r="E2645">
        <v>1122</v>
      </c>
      <c r="F2645" s="765">
        <v>2561.34</v>
      </c>
    </row>
    <row r="2646" spans="1:6">
      <c r="A2646" s="143">
        <v>11762</v>
      </c>
      <c r="B2646" t="s">
        <v>1028</v>
      </c>
      <c r="C2646" t="s">
        <v>3926</v>
      </c>
      <c r="D2646" s="45" t="s">
        <v>3927</v>
      </c>
      <c r="E2646">
        <v>1122</v>
      </c>
      <c r="F2646" s="765">
        <v>1206.9100000000001</v>
      </c>
    </row>
    <row r="2647" spans="1:6">
      <c r="A2647" s="143">
        <v>11779</v>
      </c>
      <c r="B2647" t="s">
        <v>1180</v>
      </c>
      <c r="C2647" t="s">
        <v>3685</v>
      </c>
      <c r="D2647" s="45" t="s">
        <v>3686</v>
      </c>
      <c r="E2647">
        <v>1122</v>
      </c>
      <c r="F2647" s="765">
        <v>841.26</v>
      </c>
    </row>
    <row r="2648" spans="1:6">
      <c r="A2648" s="143">
        <v>11809</v>
      </c>
      <c r="B2648" t="s">
        <v>3402</v>
      </c>
      <c r="C2648" t="s">
        <v>3738</v>
      </c>
      <c r="D2648" s="45" t="s">
        <v>3928</v>
      </c>
      <c r="E2648">
        <v>1122</v>
      </c>
      <c r="F2648" s="765">
        <v>1163.31</v>
      </c>
    </row>
    <row r="2649" spans="1:6">
      <c r="A2649" s="143">
        <v>11811</v>
      </c>
      <c r="B2649" t="s">
        <v>3403</v>
      </c>
      <c r="C2649" t="s">
        <v>3929</v>
      </c>
      <c r="D2649" s="45" t="s">
        <v>3930</v>
      </c>
      <c r="E2649">
        <v>1122</v>
      </c>
      <c r="F2649" s="765">
        <v>5917.69</v>
      </c>
    </row>
    <row r="2650" spans="1:6">
      <c r="A2650" s="143">
        <v>11811</v>
      </c>
      <c r="B2650" t="s">
        <v>3403</v>
      </c>
      <c r="C2650" t="s">
        <v>3929</v>
      </c>
      <c r="D2650" s="45" t="s">
        <v>3931</v>
      </c>
      <c r="E2650">
        <v>1122</v>
      </c>
      <c r="F2650" s="765">
        <v>5155.43</v>
      </c>
    </row>
    <row r="2651" spans="1:6">
      <c r="A2651" s="143">
        <v>11823</v>
      </c>
      <c r="B2651" t="s">
        <v>2092</v>
      </c>
      <c r="C2651" t="s">
        <v>3932</v>
      </c>
      <c r="D2651" s="45" t="s">
        <v>3933</v>
      </c>
      <c r="E2651">
        <v>1122</v>
      </c>
      <c r="F2651" s="765">
        <v>2851.84</v>
      </c>
    </row>
    <row r="2652" spans="1:6">
      <c r="A2652" s="143">
        <v>11823</v>
      </c>
      <c r="B2652" t="s">
        <v>2092</v>
      </c>
      <c r="C2652" t="s">
        <v>3932</v>
      </c>
      <c r="D2652" s="45" t="s">
        <v>3934</v>
      </c>
      <c r="E2652">
        <v>1122</v>
      </c>
      <c r="F2652" s="765">
        <v>2693.03</v>
      </c>
    </row>
    <row r="2653" spans="1:6">
      <c r="A2653" s="143">
        <v>11867</v>
      </c>
      <c r="B2653" t="s">
        <v>1198</v>
      </c>
      <c r="C2653" t="s">
        <v>3465</v>
      </c>
      <c r="D2653" s="45" t="s">
        <v>3935</v>
      </c>
      <c r="E2653">
        <v>1122</v>
      </c>
      <c r="F2653" s="765">
        <v>60.05</v>
      </c>
    </row>
    <row r="2654" spans="1:6">
      <c r="A2654" s="143">
        <v>11867</v>
      </c>
      <c r="B2654" t="s">
        <v>1198</v>
      </c>
      <c r="C2654" t="s">
        <v>3465</v>
      </c>
      <c r="D2654" s="45" t="s">
        <v>3936</v>
      </c>
      <c r="E2654">
        <v>1122</v>
      </c>
      <c r="F2654" s="765">
        <v>1534.71</v>
      </c>
    </row>
    <row r="2655" spans="1:6">
      <c r="A2655" s="143">
        <v>11867</v>
      </c>
      <c r="B2655" t="s">
        <v>1198</v>
      </c>
      <c r="C2655" t="s">
        <v>3465</v>
      </c>
      <c r="D2655" s="45" t="s">
        <v>3937</v>
      </c>
      <c r="E2655">
        <v>1122</v>
      </c>
      <c r="F2655" s="765">
        <v>1999.86</v>
      </c>
    </row>
    <row r="2656" spans="1:6">
      <c r="A2656" s="143">
        <v>11867</v>
      </c>
      <c r="B2656" t="s">
        <v>1198</v>
      </c>
      <c r="C2656" t="s">
        <v>3465</v>
      </c>
      <c r="D2656" s="45" t="s">
        <v>3938</v>
      </c>
      <c r="E2656">
        <v>1122</v>
      </c>
      <c r="F2656" s="765">
        <v>2412.75</v>
      </c>
    </row>
    <row r="2657" spans="1:6">
      <c r="A2657" s="143">
        <v>11867</v>
      </c>
      <c r="B2657" t="s">
        <v>1198</v>
      </c>
      <c r="C2657" t="s">
        <v>3465</v>
      </c>
      <c r="D2657" s="45" t="s">
        <v>3939</v>
      </c>
      <c r="E2657">
        <v>1122</v>
      </c>
      <c r="F2657" s="765">
        <v>157.74</v>
      </c>
    </row>
    <row r="2658" spans="1:6">
      <c r="A2658" s="143">
        <v>11867</v>
      </c>
      <c r="B2658" t="s">
        <v>1198</v>
      </c>
      <c r="C2658" t="s">
        <v>3465</v>
      </c>
      <c r="D2658" s="45" t="s">
        <v>3940</v>
      </c>
      <c r="E2658">
        <v>1122</v>
      </c>
      <c r="F2658" s="765">
        <v>1659.61</v>
      </c>
    </row>
    <row r="2659" spans="1:6">
      <c r="A2659" s="143">
        <v>11867</v>
      </c>
      <c r="B2659" t="s">
        <v>1198</v>
      </c>
      <c r="C2659" t="s">
        <v>3465</v>
      </c>
      <c r="D2659" s="45" t="s">
        <v>3941</v>
      </c>
      <c r="E2659">
        <v>1122</v>
      </c>
      <c r="F2659" s="765">
        <v>62.45</v>
      </c>
    </row>
    <row r="2660" spans="1:6">
      <c r="A2660" s="143">
        <v>11905</v>
      </c>
      <c r="B2660" t="s">
        <v>3408</v>
      </c>
      <c r="C2660" t="s">
        <v>3541</v>
      </c>
      <c r="D2660" s="45" t="s">
        <v>3942</v>
      </c>
      <c r="E2660">
        <v>1122</v>
      </c>
      <c r="F2660" s="765">
        <v>1177.0999999999999</v>
      </c>
    </row>
    <row r="2661" spans="1:6">
      <c r="A2661" s="143">
        <v>11944</v>
      </c>
      <c r="B2661" t="s">
        <v>3411</v>
      </c>
      <c r="C2661" t="s">
        <v>3439</v>
      </c>
      <c r="D2661" s="45" t="s">
        <v>3943</v>
      </c>
      <c r="E2661">
        <v>1122</v>
      </c>
      <c r="F2661" s="765">
        <v>2564.83</v>
      </c>
    </row>
    <row r="2662" spans="1:6">
      <c r="A2662" s="143">
        <v>11944</v>
      </c>
      <c r="B2662" t="s">
        <v>3411</v>
      </c>
      <c r="C2662" t="s">
        <v>3439</v>
      </c>
      <c r="D2662" s="45" t="s">
        <v>3944</v>
      </c>
      <c r="E2662">
        <v>1122</v>
      </c>
      <c r="F2662" s="765">
        <v>2564.83</v>
      </c>
    </row>
    <row r="2663" spans="1:6">
      <c r="A2663" s="143">
        <v>11944</v>
      </c>
      <c r="B2663" t="s">
        <v>3411</v>
      </c>
      <c r="C2663" t="s">
        <v>3439</v>
      </c>
      <c r="D2663" s="45" t="s">
        <v>3687</v>
      </c>
      <c r="E2663">
        <v>1122</v>
      </c>
      <c r="F2663" s="765">
        <v>1846.66</v>
      </c>
    </row>
    <row r="2664" spans="1:6">
      <c r="A2664" s="143">
        <v>11945</v>
      </c>
      <c r="B2664" t="s">
        <v>2873</v>
      </c>
      <c r="C2664" t="s">
        <v>3925</v>
      </c>
      <c r="D2664" s="45" t="s">
        <v>3945</v>
      </c>
      <c r="E2664">
        <v>1122</v>
      </c>
      <c r="F2664" s="765">
        <v>5854.1</v>
      </c>
    </row>
    <row r="2665" spans="1:6">
      <c r="A2665" s="143">
        <v>11945</v>
      </c>
      <c r="B2665" t="s">
        <v>2873</v>
      </c>
      <c r="C2665" t="s">
        <v>3925</v>
      </c>
      <c r="D2665" s="45" t="s">
        <v>3946</v>
      </c>
      <c r="E2665">
        <v>1122</v>
      </c>
      <c r="F2665" s="765">
        <v>4914.57</v>
      </c>
    </row>
    <row r="2666" spans="1:6">
      <c r="A2666" s="143">
        <v>21017</v>
      </c>
      <c r="B2666" t="s">
        <v>3419</v>
      </c>
      <c r="C2666" t="s">
        <v>3618</v>
      </c>
      <c r="D2666" s="45" t="s">
        <v>3947</v>
      </c>
      <c r="E2666">
        <v>1122</v>
      </c>
      <c r="F2666" s="765">
        <v>54885.41</v>
      </c>
    </row>
    <row r="2667" spans="1:6">
      <c r="A2667" s="143">
        <v>21062</v>
      </c>
      <c r="B2667" t="s">
        <v>3421</v>
      </c>
      <c r="C2667" t="s">
        <v>3495</v>
      </c>
      <c r="D2667" s="45" t="s">
        <v>3948</v>
      </c>
      <c r="E2667">
        <v>1122</v>
      </c>
      <c r="F2667" s="765">
        <v>32985.64</v>
      </c>
    </row>
    <row r="2668" spans="1:6">
      <c r="A2668" s="143">
        <v>21073</v>
      </c>
      <c r="B2668" t="s">
        <v>3436</v>
      </c>
      <c r="C2668" t="s">
        <v>3437</v>
      </c>
      <c r="D2668" s="45" t="s">
        <v>3949</v>
      </c>
      <c r="E2668">
        <v>1122</v>
      </c>
      <c r="F2668" s="765">
        <v>2270.42</v>
      </c>
    </row>
    <row r="2669" spans="1:6">
      <c r="A2669" s="143">
        <v>21073</v>
      </c>
      <c r="B2669" t="s">
        <v>3436</v>
      </c>
      <c r="C2669" t="s">
        <v>3437</v>
      </c>
      <c r="D2669" s="45" t="s">
        <v>3950</v>
      </c>
      <c r="E2669">
        <v>1122</v>
      </c>
      <c r="F2669" s="765">
        <v>1849.75</v>
      </c>
    </row>
    <row r="2670" spans="1:6">
      <c r="A2670" s="143">
        <v>21073</v>
      </c>
      <c r="B2670" t="s">
        <v>3436</v>
      </c>
      <c r="C2670" t="s">
        <v>3437</v>
      </c>
      <c r="D2670" s="45" t="s">
        <v>3951</v>
      </c>
      <c r="E2670">
        <v>1122</v>
      </c>
      <c r="F2670" s="765">
        <v>2467.34</v>
      </c>
    </row>
    <row r="2671" spans="1:6">
      <c r="A2671" s="143">
        <v>21073</v>
      </c>
      <c r="B2671" t="s">
        <v>3436</v>
      </c>
      <c r="C2671" t="s">
        <v>3437</v>
      </c>
      <c r="D2671" s="45" t="s">
        <v>3952</v>
      </c>
      <c r="E2671">
        <v>1122</v>
      </c>
      <c r="F2671" s="765">
        <v>1948.05</v>
      </c>
    </row>
    <row r="2672" spans="1:6">
      <c r="A2672" s="143">
        <v>21073</v>
      </c>
      <c r="B2672" t="s">
        <v>3436</v>
      </c>
      <c r="C2672" t="s">
        <v>3437</v>
      </c>
      <c r="D2672" s="45" t="s">
        <v>3953</v>
      </c>
      <c r="E2672">
        <v>1122</v>
      </c>
      <c r="F2672" s="765">
        <v>810.54</v>
      </c>
    </row>
    <row r="2673" spans="1:6">
      <c r="A2673" s="143">
        <v>21073</v>
      </c>
      <c r="B2673" t="s">
        <v>3436</v>
      </c>
      <c r="C2673" t="s">
        <v>3437</v>
      </c>
      <c r="D2673" s="45" t="s">
        <v>3954</v>
      </c>
      <c r="E2673">
        <v>1122</v>
      </c>
      <c r="F2673" s="765">
        <v>1363.52</v>
      </c>
    </row>
    <row r="2674" spans="1:6">
      <c r="A2674" s="143">
        <v>21073</v>
      </c>
      <c r="B2674" t="s">
        <v>3436</v>
      </c>
      <c r="C2674" t="s">
        <v>3437</v>
      </c>
      <c r="D2674" s="45" t="s">
        <v>3955</v>
      </c>
      <c r="E2674">
        <v>1122</v>
      </c>
      <c r="F2674" s="765">
        <v>1929.32</v>
      </c>
    </row>
    <row r="2675" spans="1:6">
      <c r="A2675" s="143">
        <v>21073</v>
      </c>
      <c r="B2675" t="s">
        <v>3436</v>
      </c>
      <c r="C2675" t="s">
        <v>3437</v>
      </c>
      <c r="D2675" s="45" t="s">
        <v>3956</v>
      </c>
      <c r="E2675">
        <v>1122</v>
      </c>
      <c r="F2675" s="765">
        <v>586.79</v>
      </c>
    </row>
    <row r="2676" spans="1:6">
      <c r="A2676" s="143">
        <v>21083</v>
      </c>
      <c r="B2676" t="s">
        <v>3422</v>
      </c>
      <c r="C2676" t="s">
        <v>3957</v>
      </c>
      <c r="D2676" s="45" t="s">
        <v>3958</v>
      </c>
      <c r="E2676">
        <v>1122</v>
      </c>
      <c r="F2676" s="765">
        <v>5133.08</v>
      </c>
    </row>
    <row r="2677" spans="1:6">
      <c r="A2677" s="143">
        <v>21087</v>
      </c>
      <c r="B2677" t="s">
        <v>1032</v>
      </c>
      <c r="C2677" t="s">
        <v>3555</v>
      </c>
      <c r="D2677" s="45" t="s">
        <v>3959</v>
      </c>
      <c r="E2677">
        <v>1122</v>
      </c>
      <c r="F2677" s="765">
        <v>10480.43</v>
      </c>
    </row>
    <row r="2678" spans="1:6">
      <c r="A2678" s="143">
        <v>21087</v>
      </c>
      <c r="B2678" t="s">
        <v>1032</v>
      </c>
      <c r="C2678" t="s">
        <v>3555</v>
      </c>
      <c r="D2678" s="45" t="s">
        <v>3960</v>
      </c>
      <c r="E2678">
        <v>1122</v>
      </c>
      <c r="F2678" s="765">
        <v>11335.57</v>
      </c>
    </row>
    <row r="2679" spans="1:6">
      <c r="A2679" s="143">
        <v>21087</v>
      </c>
      <c r="B2679" t="s">
        <v>1032</v>
      </c>
      <c r="C2679" t="s">
        <v>3555</v>
      </c>
      <c r="D2679" s="45" t="s">
        <v>3961</v>
      </c>
      <c r="E2679">
        <v>1122</v>
      </c>
      <c r="F2679" s="765">
        <v>13431.57</v>
      </c>
    </row>
    <row r="2680" spans="1:6">
      <c r="A2680" s="143">
        <v>21093</v>
      </c>
      <c r="B2680" t="s">
        <v>3717</v>
      </c>
      <c r="C2680" t="s">
        <v>3718</v>
      </c>
      <c r="D2680" s="45" t="s">
        <v>3962</v>
      </c>
      <c r="E2680">
        <v>1122</v>
      </c>
      <c r="F2680" s="765">
        <v>609.80999999999995</v>
      </c>
    </row>
    <row r="2681" spans="1:6">
      <c r="A2681" s="143">
        <v>21093</v>
      </c>
      <c r="B2681" t="s">
        <v>3717</v>
      </c>
      <c r="C2681" t="s">
        <v>3718</v>
      </c>
      <c r="D2681" s="45" t="s">
        <v>3963</v>
      </c>
      <c r="E2681">
        <v>1122</v>
      </c>
      <c r="F2681" s="765">
        <v>2127.9699999999998</v>
      </c>
    </row>
    <row r="2682" spans="1:6">
      <c r="A2682" s="143">
        <v>21093</v>
      </c>
      <c r="B2682" t="s">
        <v>3717</v>
      </c>
      <c r="C2682" t="s">
        <v>3718</v>
      </c>
      <c r="D2682" s="45" t="s">
        <v>3964</v>
      </c>
      <c r="E2682">
        <v>1122</v>
      </c>
      <c r="F2682" s="765">
        <v>1043.98</v>
      </c>
    </row>
    <row r="2683" spans="1:6">
      <c r="A2683" s="143">
        <v>21093</v>
      </c>
      <c r="B2683" t="s">
        <v>3717</v>
      </c>
      <c r="C2683" t="s">
        <v>3718</v>
      </c>
      <c r="D2683" s="45" t="s">
        <v>3965</v>
      </c>
      <c r="E2683">
        <v>1122</v>
      </c>
      <c r="F2683" s="765">
        <v>1048.1099999999999</v>
      </c>
    </row>
    <row r="2684" spans="1:6">
      <c r="A2684" s="143">
        <v>21093</v>
      </c>
      <c r="B2684" t="s">
        <v>3717</v>
      </c>
      <c r="C2684" t="s">
        <v>3718</v>
      </c>
      <c r="D2684" s="45" t="s">
        <v>3966</v>
      </c>
      <c r="E2684">
        <v>1122</v>
      </c>
      <c r="F2684" s="765">
        <v>847.96</v>
      </c>
    </row>
    <row r="2685" spans="1:6">
      <c r="A2685" s="143">
        <v>21093</v>
      </c>
      <c r="B2685" t="s">
        <v>3717</v>
      </c>
      <c r="C2685" t="s">
        <v>3718</v>
      </c>
      <c r="D2685" s="45" t="s">
        <v>3967</v>
      </c>
      <c r="E2685">
        <v>1122</v>
      </c>
      <c r="F2685" s="765">
        <v>3566.52</v>
      </c>
    </row>
    <row r="2686" spans="1:6">
      <c r="A2686" s="143">
        <v>31027</v>
      </c>
      <c r="B2686" t="s">
        <v>1033</v>
      </c>
      <c r="C2686" t="s">
        <v>3478</v>
      </c>
      <c r="D2686" s="45" t="s">
        <v>3968</v>
      </c>
      <c r="E2686">
        <v>1122</v>
      </c>
      <c r="F2686" s="765">
        <v>12972.41</v>
      </c>
    </row>
    <row r="2687" spans="1:6">
      <c r="A2687" s="143">
        <v>31027</v>
      </c>
      <c r="B2687" t="s">
        <v>1033</v>
      </c>
      <c r="C2687" t="s">
        <v>3478</v>
      </c>
      <c r="D2687" s="45" t="s">
        <v>3969</v>
      </c>
      <c r="E2687">
        <v>1122</v>
      </c>
      <c r="F2687" s="765">
        <v>12636.44</v>
      </c>
    </row>
    <row r="2688" spans="1:6">
      <c r="A2688" s="143">
        <v>31027</v>
      </c>
      <c r="B2688" t="s">
        <v>1033</v>
      </c>
      <c r="C2688" t="s">
        <v>3478</v>
      </c>
      <c r="D2688" s="45" t="s">
        <v>3970</v>
      </c>
      <c r="E2688">
        <v>1122</v>
      </c>
      <c r="F2688" s="765">
        <v>6200.79</v>
      </c>
    </row>
    <row r="2689" spans="1:6">
      <c r="A2689" s="143">
        <v>31027</v>
      </c>
      <c r="B2689" t="s">
        <v>1033</v>
      </c>
      <c r="C2689" t="s">
        <v>3478</v>
      </c>
      <c r="D2689" s="45" t="s">
        <v>3971</v>
      </c>
      <c r="E2689">
        <v>1122</v>
      </c>
      <c r="F2689" s="765">
        <v>4673.05</v>
      </c>
    </row>
    <row r="2690" spans="1:6">
      <c r="A2690" s="143">
        <v>31027</v>
      </c>
      <c r="B2690" t="s">
        <v>1033</v>
      </c>
      <c r="C2690" t="s">
        <v>3478</v>
      </c>
      <c r="D2690" s="45" t="s">
        <v>3972</v>
      </c>
      <c r="E2690">
        <v>1122</v>
      </c>
      <c r="F2690" s="765">
        <v>6200.79</v>
      </c>
    </row>
    <row r="2691" spans="1:6">
      <c r="A2691" s="143">
        <v>31027</v>
      </c>
      <c r="B2691" t="s">
        <v>1033</v>
      </c>
      <c r="C2691" t="s">
        <v>3478</v>
      </c>
      <c r="D2691" s="45" t="s">
        <v>3973</v>
      </c>
      <c r="E2691">
        <v>1122</v>
      </c>
      <c r="F2691" s="765">
        <v>4062.19</v>
      </c>
    </row>
    <row r="2692" spans="1:6">
      <c r="A2692" s="143">
        <v>31027</v>
      </c>
      <c r="B2692" t="s">
        <v>1033</v>
      </c>
      <c r="C2692" t="s">
        <v>3478</v>
      </c>
      <c r="D2692" s="45" t="s">
        <v>3974</v>
      </c>
      <c r="E2692">
        <v>1122</v>
      </c>
      <c r="F2692" s="765">
        <v>6200.79</v>
      </c>
    </row>
    <row r="2693" spans="1:6">
      <c r="A2693" s="143">
        <v>31027</v>
      </c>
      <c r="B2693" t="s">
        <v>1033</v>
      </c>
      <c r="C2693" t="s">
        <v>3478</v>
      </c>
      <c r="D2693" s="45" t="s">
        <v>3975</v>
      </c>
      <c r="E2693">
        <v>1122</v>
      </c>
      <c r="F2693" s="765">
        <v>1701.51</v>
      </c>
    </row>
    <row r="2694" spans="1:6">
      <c r="A2694" s="143">
        <v>31027</v>
      </c>
      <c r="B2694" t="s">
        <v>1033</v>
      </c>
      <c r="C2694" t="s">
        <v>3478</v>
      </c>
      <c r="D2694" s="45" t="s">
        <v>3976</v>
      </c>
      <c r="E2694">
        <v>1122</v>
      </c>
      <c r="F2694" s="765">
        <v>4275.99</v>
      </c>
    </row>
    <row r="2695" spans="1:6">
      <c r="A2695" s="143">
        <v>31027</v>
      </c>
      <c r="B2695" t="s">
        <v>1033</v>
      </c>
      <c r="C2695" t="s">
        <v>3478</v>
      </c>
      <c r="D2695" s="45" t="s">
        <v>3977</v>
      </c>
      <c r="E2695">
        <v>1122</v>
      </c>
      <c r="F2695" s="765">
        <v>3468.63</v>
      </c>
    </row>
    <row r="2696" spans="1:6">
      <c r="A2696" s="143">
        <v>31027</v>
      </c>
      <c r="B2696" t="s">
        <v>1033</v>
      </c>
      <c r="C2696" t="s">
        <v>3478</v>
      </c>
      <c r="D2696" s="45" t="s">
        <v>3978</v>
      </c>
      <c r="E2696">
        <v>1122</v>
      </c>
      <c r="F2696" s="765">
        <v>4573.5600000000004</v>
      </c>
    </row>
    <row r="2697" spans="1:6">
      <c r="A2697" s="143">
        <v>31027</v>
      </c>
      <c r="B2697" t="s">
        <v>1033</v>
      </c>
      <c r="C2697" t="s">
        <v>3478</v>
      </c>
      <c r="D2697" s="45" t="s">
        <v>3979</v>
      </c>
      <c r="E2697">
        <v>1122</v>
      </c>
      <c r="F2697" s="765">
        <v>1769.58</v>
      </c>
    </row>
    <row r="2698" spans="1:6">
      <c r="A2698" s="143">
        <v>31027</v>
      </c>
      <c r="B2698" t="s">
        <v>1033</v>
      </c>
      <c r="C2698" t="s">
        <v>3478</v>
      </c>
      <c r="D2698" s="45" t="s">
        <v>3980</v>
      </c>
      <c r="E2698">
        <v>1122</v>
      </c>
      <c r="F2698" s="765">
        <v>4954.68</v>
      </c>
    </row>
    <row r="2699" spans="1:6">
      <c r="A2699" s="143">
        <v>31027</v>
      </c>
      <c r="B2699" t="s">
        <v>1033</v>
      </c>
      <c r="C2699" t="s">
        <v>3478</v>
      </c>
      <c r="D2699" s="45" t="s">
        <v>3981</v>
      </c>
      <c r="E2699">
        <v>1122</v>
      </c>
      <c r="F2699" s="765">
        <v>1769.58</v>
      </c>
    </row>
    <row r="2700" spans="1:6">
      <c r="A2700" s="143">
        <v>31027</v>
      </c>
      <c r="B2700" t="s">
        <v>1033</v>
      </c>
      <c r="C2700" t="s">
        <v>3478</v>
      </c>
      <c r="D2700" s="45" t="s">
        <v>3982</v>
      </c>
      <c r="E2700">
        <v>1122</v>
      </c>
      <c r="F2700" s="765">
        <v>4287.71</v>
      </c>
    </row>
    <row r="2701" spans="1:6">
      <c r="A2701" s="143">
        <v>31027</v>
      </c>
      <c r="B2701" t="s">
        <v>1033</v>
      </c>
      <c r="C2701" t="s">
        <v>3478</v>
      </c>
      <c r="D2701" s="45" t="s">
        <v>3983</v>
      </c>
      <c r="E2701">
        <v>1122</v>
      </c>
      <c r="F2701" s="765">
        <v>1769.58</v>
      </c>
    </row>
    <row r="2702" spans="1:6">
      <c r="A2702" s="143">
        <v>31027</v>
      </c>
      <c r="B2702" t="s">
        <v>1033</v>
      </c>
      <c r="C2702" t="s">
        <v>3478</v>
      </c>
      <c r="D2702" s="45" t="s">
        <v>3984</v>
      </c>
      <c r="E2702">
        <v>1122</v>
      </c>
      <c r="F2702" s="765">
        <v>4192.43</v>
      </c>
    </row>
    <row r="2703" spans="1:6">
      <c r="A2703" s="143">
        <v>31027</v>
      </c>
      <c r="B2703" t="s">
        <v>1033</v>
      </c>
      <c r="C2703" t="s">
        <v>3478</v>
      </c>
      <c r="D2703" s="45" t="s">
        <v>3985</v>
      </c>
      <c r="E2703">
        <v>1122</v>
      </c>
      <c r="F2703" s="765">
        <v>6448.82</v>
      </c>
    </row>
    <row r="2704" spans="1:6">
      <c r="A2704" s="143">
        <v>31027</v>
      </c>
      <c r="B2704" t="s">
        <v>1033</v>
      </c>
      <c r="C2704" t="s">
        <v>3478</v>
      </c>
      <c r="D2704" s="45" t="s">
        <v>3986</v>
      </c>
      <c r="E2704">
        <v>1122</v>
      </c>
      <c r="F2704" s="765">
        <v>1769.58</v>
      </c>
    </row>
    <row r="2705" spans="1:6">
      <c r="A2705" s="143">
        <v>31027</v>
      </c>
      <c r="B2705" t="s">
        <v>1033</v>
      </c>
      <c r="C2705" t="s">
        <v>3478</v>
      </c>
      <c r="D2705" s="45" t="s">
        <v>3987</v>
      </c>
      <c r="E2705">
        <v>1122</v>
      </c>
      <c r="F2705" s="765">
        <v>12442.59</v>
      </c>
    </row>
    <row r="2706" spans="1:6">
      <c r="A2706" s="143">
        <v>31027</v>
      </c>
      <c r="B2706" t="s">
        <v>1033</v>
      </c>
      <c r="C2706" t="s">
        <v>3478</v>
      </c>
      <c r="D2706" s="45" t="s">
        <v>3988</v>
      </c>
      <c r="E2706">
        <v>1122</v>
      </c>
      <c r="F2706" s="765">
        <v>1390.93</v>
      </c>
    </row>
    <row r="2707" spans="1:6">
      <c r="A2707" s="143">
        <v>51021</v>
      </c>
      <c r="B2707" t="s">
        <v>3422</v>
      </c>
      <c r="C2707" t="s">
        <v>3957</v>
      </c>
      <c r="D2707" s="45" t="s">
        <v>3989</v>
      </c>
      <c r="E2707">
        <v>1122</v>
      </c>
      <c r="F2707" s="765">
        <v>4362.1099999999997</v>
      </c>
    </row>
    <row r="2708" spans="1:6">
      <c r="A2708" s="143">
        <v>51021</v>
      </c>
      <c r="B2708" t="s">
        <v>3422</v>
      </c>
      <c r="C2708" t="s">
        <v>3957</v>
      </c>
      <c r="D2708" s="45" t="s">
        <v>3990</v>
      </c>
      <c r="E2708">
        <v>1122</v>
      </c>
      <c r="F2708" s="765">
        <v>3184.06</v>
      </c>
    </row>
    <row r="2709" spans="1:6">
      <c r="A2709" s="143">
        <v>11604</v>
      </c>
      <c r="B2709" t="s">
        <v>3477</v>
      </c>
      <c r="C2709" t="s">
        <v>3478</v>
      </c>
      <c r="D2709" s="45" t="s">
        <v>3688</v>
      </c>
      <c r="E2709">
        <v>1123</v>
      </c>
      <c r="F2709" s="765">
        <v>20008.919999999998</v>
      </c>
    </row>
    <row r="2710" spans="1:6">
      <c r="A2710" s="143">
        <v>11749</v>
      </c>
      <c r="B2710" t="s">
        <v>3573</v>
      </c>
      <c r="C2710" t="s">
        <v>3574</v>
      </c>
      <c r="D2710" s="45" t="s">
        <v>3689</v>
      </c>
      <c r="E2710">
        <v>1123</v>
      </c>
      <c r="F2710" s="765">
        <v>434.51</v>
      </c>
    </row>
    <row r="2711" spans="1:6">
      <c r="A2711" s="143">
        <v>11749</v>
      </c>
      <c r="B2711" t="s">
        <v>3573</v>
      </c>
      <c r="C2711" t="s">
        <v>3574</v>
      </c>
      <c r="D2711" s="45" t="s">
        <v>3690</v>
      </c>
      <c r="E2711">
        <v>1123</v>
      </c>
      <c r="F2711" s="765">
        <v>960.75</v>
      </c>
    </row>
    <row r="2712" spans="1:6">
      <c r="A2712" s="143">
        <v>11749</v>
      </c>
      <c r="B2712" t="s">
        <v>3573</v>
      </c>
      <c r="C2712" t="s">
        <v>3574</v>
      </c>
      <c r="D2712" s="45" t="s">
        <v>3691</v>
      </c>
      <c r="E2712">
        <v>1123</v>
      </c>
      <c r="F2712" s="765">
        <v>16.96</v>
      </c>
    </row>
    <row r="2713" spans="1:6">
      <c r="A2713" s="143">
        <v>31009</v>
      </c>
      <c r="B2713" t="s">
        <v>3374</v>
      </c>
      <c r="C2713" t="s">
        <v>3443</v>
      </c>
      <c r="D2713" s="45" t="s">
        <v>3692</v>
      </c>
      <c r="E2713">
        <v>1123</v>
      </c>
      <c r="F2713" s="765">
        <v>1446.57</v>
      </c>
    </row>
    <row r="2714" spans="1:6">
      <c r="A2714" s="143">
        <v>31027</v>
      </c>
      <c r="B2714" t="s">
        <v>1033</v>
      </c>
      <c r="C2714" t="s">
        <v>3478</v>
      </c>
      <c r="D2714" s="45" t="s">
        <v>3693</v>
      </c>
      <c r="E2714">
        <v>1123</v>
      </c>
      <c r="F2714" s="765">
        <v>791.25</v>
      </c>
    </row>
    <row r="2715" spans="1:6">
      <c r="A2715" s="143">
        <v>31027</v>
      </c>
      <c r="B2715" t="s">
        <v>1033</v>
      </c>
      <c r="C2715" t="s">
        <v>3478</v>
      </c>
      <c r="D2715" s="45" t="s">
        <v>3694</v>
      </c>
      <c r="E2715">
        <v>1123</v>
      </c>
      <c r="F2715" s="765">
        <v>1390.93</v>
      </c>
    </row>
    <row r="2716" spans="1:6">
      <c r="A2716" s="143">
        <v>31027</v>
      </c>
      <c r="B2716" t="s">
        <v>1033</v>
      </c>
      <c r="C2716" t="s">
        <v>3478</v>
      </c>
      <c r="D2716" s="45" t="s">
        <v>3695</v>
      </c>
      <c r="E2716">
        <v>1123</v>
      </c>
      <c r="F2716" s="765">
        <v>2577.8000000000002</v>
      </c>
    </row>
    <row r="2717" spans="1:6">
      <c r="A2717" s="143">
        <v>31031</v>
      </c>
      <c r="B2717" t="s">
        <v>3425</v>
      </c>
      <c r="C2717" t="s">
        <v>3499</v>
      </c>
      <c r="D2717" s="45" t="s">
        <v>3696</v>
      </c>
      <c r="E2717">
        <v>1123</v>
      </c>
      <c r="F2717" s="765">
        <v>13534.03</v>
      </c>
    </row>
    <row r="2718" spans="1:6">
      <c r="A2718" s="143">
        <v>11002</v>
      </c>
      <c r="B2718" t="s">
        <v>1123</v>
      </c>
      <c r="C2718" t="s">
        <v>3501</v>
      </c>
      <c r="D2718" s="45" t="s">
        <v>3697</v>
      </c>
      <c r="E2718">
        <v>1124</v>
      </c>
      <c r="F2718" s="765">
        <v>23471.53</v>
      </c>
    </row>
    <row r="2719" spans="1:6">
      <c r="A2719" s="143">
        <v>11002</v>
      </c>
      <c r="B2719" t="s">
        <v>1123</v>
      </c>
      <c r="C2719" t="s">
        <v>3501</v>
      </c>
      <c r="D2719" s="45" t="s">
        <v>3698</v>
      </c>
      <c r="E2719">
        <v>1124</v>
      </c>
      <c r="F2719" s="765">
        <v>15704.22</v>
      </c>
    </row>
    <row r="2720" spans="1:6">
      <c r="A2720" s="143">
        <v>11944</v>
      </c>
      <c r="B2720" t="s">
        <v>3411</v>
      </c>
      <c r="C2720" t="s">
        <v>3439</v>
      </c>
      <c r="D2720" s="45" t="s">
        <v>3699</v>
      </c>
      <c r="E2720">
        <v>1149</v>
      </c>
      <c r="F2720" s="765">
        <v>1846.66</v>
      </c>
    </row>
    <row r="2721" spans="1:6">
      <c r="A2721" s="143">
        <v>11604</v>
      </c>
      <c r="B2721" t="s">
        <v>3477</v>
      </c>
      <c r="C2721" t="s">
        <v>3478</v>
      </c>
      <c r="D2721" s="45" t="s">
        <v>3700</v>
      </c>
      <c r="E2721">
        <v>1150</v>
      </c>
      <c r="F2721" s="765">
        <v>33203.17</v>
      </c>
    </row>
    <row r="2722" spans="1:6">
      <c r="A2722" s="143">
        <v>11669</v>
      </c>
      <c r="B2722" t="s">
        <v>1140</v>
      </c>
      <c r="C2722" t="s">
        <v>3632</v>
      </c>
      <c r="D2722" s="45" t="s">
        <v>3701</v>
      </c>
      <c r="E2722">
        <v>1150</v>
      </c>
      <c r="F2722" s="765">
        <v>1407.82</v>
      </c>
    </row>
    <row r="2723" spans="1:6">
      <c r="A2723" s="143">
        <v>31027</v>
      </c>
      <c r="B2723" t="s">
        <v>1033</v>
      </c>
      <c r="C2723" t="s">
        <v>3478</v>
      </c>
      <c r="D2723" s="45" t="s">
        <v>3702</v>
      </c>
      <c r="E2723">
        <v>1150</v>
      </c>
      <c r="F2723" s="765">
        <v>791.25</v>
      </c>
    </row>
    <row r="2724" spans="1:6">
      <c r="A2724" s="143">
        <v>31027</v>
      </c>
      <c r="B2724" t="s">
        <v>1033</v>
      </c>
      <c r="C2724" t="s">
        <v>3478</v>
      </c>
      <c r="D2724" s="45" t="s">
        <v>3703</v>
      </c>
      <c r="E2724">
        <v>1150</v>
      </c>
      <c r="F2724" s="765">
        <v>1390.93</v>
      </c>
    </row>
    <row r="2725" spans="1:6">
      <c r="A2725" s="143">
        <v>31027</v>
      </c>
      <c r="B2725" t="s">
        <v>1033</v>
      </c>
      <c r="C2725" t="s">
        <v>3478</v>
      </c>
      <c r="D2725" s="45" t="s">
        <v>3704</v>
      </c>
      <c r="E2725">
        <v>1150</v>
      </c>
      <c r="F2725" s="765">
        <v>3086.57</v>
      </c>
    </row>
    <row r="2726" spans="1:6">
      <c r="A2726" s="143">
        <v>11749</v>
      </c>
      <c r="B2726" t="s">
        <v>3573</v>
      </c>
      <c r="C2726" t="s">
        <v>3574</v>
      </c>
      <c r="D2726" s="45" t="s">
        <v>3705</v>
      </c>
      <c r="E2726">
        <v>1151</v>
      </c>
      <c r="F2726" s="765">
        <v>960.75</v>
      </c>
    </row>
    <row r="2727" spans="1:6">
      <c r="A2727" s="143">
        <v>31031</v>
      </c>
      <c r="B2727" t="s">
        <v>3425</v>
      </c>
      <c r="C2727" t="s">
        <v>3499</v>
      </c>
      <c r="D2727" s="45" t="s">
        <v>3706</v>
      </c>
      <c r="E2727">
        <v>1152</v>
      </c>
      <c r="F2727" s="765">
        <v>13500.11</v>
      </c>
    </row>
    <row r="2728" spans="1:6">
      <c r="A2728" s="143">
        <v>11441</v>
      </c>
      <c r="B2728" t="s">
        <v>3432</v>
      </c>
      <c r="C2728" t="s">
        <v>3433</v>
      </c>
      <c r="D2728" s="45" t="s">
        <v>3707</v>
      </c>
      <c r="E2728">
        <v>1156</v>
      </c>
      <c r="F2728" s="765">
        <v>10070.25</v>
      </c>
    </row>
    <row r="2729" spans="1:6">
      <c r="A2729" s="143">
        <v>31027</v>
      </c>
      <c r="B2729" t="s">
        <v>1033</v>
      </c>
      <c r="C2729" t="s">
        <v>3478</v>
      </c>
      <c r="D2729" s="45" t="s">
        <v>3710</v>
      </c>
      <c r="E2729">
        <v>1176</v>
      </c>
      <c r="F2729" s="765">
        <v>791.25</v>
      </c>
    </row>
    <row r="2730" spans="1:6">
      <c r="A2730" s="143">
        <v>31027</v>
      </c>
      <c r="B2730" t="s">
        <v>1033</v>
      </c>
      <c r="C2730" t="s">
        <v>3478</v>
      </c>
      <c r="D2730" s="45" t="s">
        <v>3708</v>
      </c>
      <c r="E2730">
        <v>1176</v>
      </c>
      <c r="F2730" s="765">
        <v>1390.93</v>
      </c>
    </row>
    <row r="2731" spans="1:6">
      <c r="A2731" s="143">
        <v>31027</v>
      </c>
      <c r="B2731" t="s">
        <v>1033</v>
      </c>
      <c r="C2731" t="s">
        <v>3478</v>
      </c>
      <c r="D2731" s="45" t="s">
        <v>3709</v>
      </c>
      <c r="E2731">
        <v>1176</v>
      </c>
      <c r="F2731" s="765">
        <v>3052.66</v>
      </c>
    </row>
    <row r="2732" spans="1:6">
      <c r="A2732" s="143">
        <v>31031</v>
      </c>
      <c r="B2732" t="s">
        <v>3425</v>
      </c>
      <c r="C2732" t="s">
        <v>3499</v>
      </c>
      <c r="D2732" s="45" t="s">
        <v>3711</v>
      </c>
      <c r="E2732">
        <v>1177</v>
      </c>
      <c r="F2732" s="765">
        <v>9645.6299999999992</v>
      </c>
    </row>
    <row r="2733" spans="1:6">
      <c r="A2733" s="143">
        <v>11836</v>
      </c>
      <c r="B2733" t="s">
        <v>2878</v>
      </c>
      <c r="C2733" t="s">
        <v>3488</v>
      </c>
      <c r="D2733" s="45" t="s">
        <v>3712</v>
      </c>
      <c r="E2733">
        <v>1178</v>
      </c>
      <c r="F2733" s="765">
        <v>237.43</v>
      </c>
    </row>
    <row r="2734" spans="1:6">
      <c r="A2734" s="143">
        <v>21066</v>
      </c>
      <c r="B2734" t="s">
        <v>3713</v>
      </c>
      <c r="C2734" t="s">
        <v>3597</v>
      </c>
      <c r="D2734" s="45" t="s">
        <v>3714</v>
      </c>
      <c r="E2734">
        <v>1178</v>
      </c>
      <c r="F2734" s="765">
        <v>2272.5300000000002</v>
      </c>
    </row>
    <row r="2735" spans="1:6">
      <c r="A2735" s="143">
        <v>21073</v>
      </c>
      <c r="B2735" t="s">
        <v>3436</v>
      </c>
      <c r="C2735" t="s">
        <v>3437</v>
      </c>
      <c r="D2735" s="45" t="s">
        <v>3715</v>
      </c>
      <c r="E2735">
        <v>1178</v>
      </c>
      <c r="F2735" s="765">
        <v>2980.8</v>
      </c>
    </row>
    <row r="2736" spans="1:6">
      <c r="A2736" s="143">
        <v>21073</v>
      </c>
      <c r="B2736" t="s">
        <v>3436</v>
      </c>
      <c r="C2736" t="s">
        <v>3437</v>
      </c>
      <c r="D2736" s="45" t="s">
        <v>3716</v>
      </c>
      <c r="E2736">
        <v>1178</v>
      </c>
      <c r="F2736" s="765">
        <v>949.72</v>
      </c>
    </row>
    <row r="2737" spans="1:6">
      <c r="A2737" s="143">
        <v>21093</v>
      </c>
      <c r="B2737" t="s">
        <v>3717</v>
      </c>
      <c r="C2737" t="s">
        <v>3718</v>
      </c>
      <c r="D2737" s="45" t="s">
        <v>3719</v>
      </c>
      <c r="E2737">
        <v>1178</v>
      </c>
      <c r="F2737" s="765">
        <v>271.35000000000002</v>
      </c>
    </row>
    <row r="2738" spans="1:6">
      <c r="A2738" s="143">
        <v>11480</v>
      </c>
      <c r="B2738" t="s">
        <v>3393</v>
      </c>
      <c r="C2738" t="s">
        <v>3474</v>
      </c>
      <c r="D2738" s="45" t="s">
        <v>3720</v>
      </c>
      <c r="E2738">
        <v>1179</v>
      </c>
      <c r="F2738" s="765">
        <v>754.68</v>
      </c>
    </row>
    <row r="2739" spans="1:6">
      <c r="A2739" s="143">
        <v>11669</v>
      </c>
      <c r="B2739" t="s">
        <v>1140</v>
      </c>
      <c r="C2739" t="s">
        <v>3632</v>
      </c>
      <c r="D2739" s="45" t="s">
        <v>3721</v>
      </c>
      <c r="E2739">
        <v>1179</v>
      </c>
      <c r="F2739" s="765">
        <v>1441.74</v>
      </c>
    </row>
    <row r="2740" spans="1:6">
      <c r="A2740" s="143">
        <v>11702</v>
      </c>
      <c r="B2740" t="s">
        <v>3397</v>
      </c>
      <c r="C2740" t="s">
        <v>3722</v>
      </c>
      <c r="D2740" s="45" t="s">
        <v>3723</v>
      </c>
      <c r="E2740">
        <v>1179</v>
      </c>
      <c r="F2740" s="765">
        <v>1263.3599999999999</v>
      </c>
    </row>
    <row r="2741" spans="1:6">
      <c r="A2741" s="143">
        <v>11779</v>
      </c>
      <c r="B2741" t="s">
        <v>1180</v>
      </c>
      <c r="C2741" t="s">
        <v>3685</v>
      </c>
      <c r="D2741" s="45" t="s">
        <v>3724</v>
      </c>
      <c r="E2741">
        <v>1179</v>
      </c>
      <c r="F2741" s="765">
        <v>841.26</v>
      </c>
    </row>
    <row r="2742" spans="1:6">
      <c r="A2742" s="143">
        <v>11818</v>
      </c>
      <c r="B2742" t="s">
        <v>2089</v>
      </c>
      <c r="C2742" t="s">
        <v>3485</v>
      </c>
      <c r="D2742" s="45" t="s">
        <v>3725</v>
      </c>
      <c r="E2742">
        <v>1179</v>
      </c>
      <c r="F2742" s="765">
        <v>239.11</v>
      </c>
    </row>
    <row r="2743" spans="1:6">
      <c r="A2743" s="143">
        <v>11855</v>
      </c>
      <c r="B2743" t="s">
        <v>3726</v>
      </c>
      <c r="C2743" t="s">
        <v>3727</v>
      </c>
      <c r="D2743" s="45" t="s">
        <v>3728</v>
      </c>
      <c r="E2743">
        <v>1180</v>
      </c>
      <c r="F2743" s="765">
        <v>681.72</v>
      </c>
    </row>
    <row r="2744" spans="1:6">
      <c r="A2744" s="143">
        <v>11921</v>
      </c>
      <c r="B2744" t="s">
        <v>3409</v>
      </c>
      <c r="C2744" t="s">
        <v>3729</v>
      </c>
      <c r="D2744" s="45" t="s">
        <v>3730</v>
      </c>
      <c r="E2744">
        <v>1180</v>
      </c>
      <c r="F2744" s="765">
        <v>2883.35</v>
      </c>
    </row>
    <row r="2745" spans="1:6">
      <c r="A2745" s="143">
        <v>11669</v>
      </c>
      <c r="B2745" t="s">
        <v>1140</v>
      </c>
      <c r="C2745" t="s">
        <v>3632</v>
      </c>
      <c r="D2745" s="45" t="s">
        <v>3731</v>
      </c>
      <c r="E2745">
        <v>1183</v>
      </c>
      <c r="F2745" s="765">
        <v>1848.76</v>
      </c>
    </row>
    <row r="2746" spans="1:6">
      <c r="A2746" s="143">
        <v>31031</v>
      </c>
      <c r="B2746" t="s">
        <v>3425</v>
      </c>
      <c r="C2746" t="s">
        <v>3499</v>
      </c>
      <c r="D2746" s="45" t="s">
        <v>3732</v>
      </c>
      <c r="E2746">
        <v>1183</v>
      </c>
      <c r="F2746" s="765">
        <v>37221.29</v>
      </c>
    </row>
    <row r="2747" spans="1:6">
      <c r="A2747" s="143">
        <v>11472</v>
      </c>
      <c r="B2747" t="s">
        <v>3391</v>
      </c>
      <c r="C2747" t="s">
        <v>3733</v>
      </c>
      <c r="D2747" s="45" t="s">
        <v>3734</v>
      </c>
      <c r="E2747">
        <v>1193</v>
      </c>
      <c r="F2747" s="765">
        <v>11844.64</v>
      </c>
    </row>
    <row r="2748" spans="1:6">
      <c r="A2748" s="143">
        <v>11604</v>
      </c>
      <c r="B2748" t="s">
        <v>3477</v>
      </c>
      <c r="C2748" t="s">
        <v>3478</v>
      </c>
      <c r="D2748" s="45" t="s">
        <v>3735</v>
      </c>
      <c r="E2748">
        <v>1193</v>
      </c>
      <c r="F2748" s="765">
        <v>5457.93</v>
      </c>
    </row>
    <row r="2749" spans="1:6">
      <c r="A2749" s="143">
        <v>11669</v>
      </c>
      <c r="B2749" t="s">
        <v>1140</v>
      </c>
      <c r="C2749" t="s">
        <v>3632</v>
      </c>
      <c r="D2749" s="45" t="s">
        <v>3736</v>
      </c>
      <c r="E2749">
        <v>1193</v>
      </c>
      <c r="F2749" s="765">
        <v>7987.99</v>
      </c>
    </row>
    <row r="2750" spans="1:6">
      <c r="A2750" s="143">
        <v>11779</v>
      </c>
      <c r="B2750" t="s">
        <v>1180</v>
      </c>
      <c r="C2750" t="s">
        <v>3685</v>
      </c>
      <c r="D2750" s="45" t="s">
        <v>3737</v>
      </c>
      <c r="E2750">
        <v>1193</v>
      </c>
      <c r="F2750" s="765">
        <v>841.26</v>
      </c>
    </row>
    <row r="2751" spans="1:6">
      <c r="A2751" s="143">
        <v>11809</v>
      </c>
      <c r="B2751" t="s">
        <v>3402</v>
      </c>
      <c r="C2751" t="s">
        <v>3738</v>
      </c>
      <c r="D2751" s="45" t="s">
        <v>3739</v>
      </c>
      <c r="E2751">
        <v>1193</v>
      </c>
      <c r="F2751" s="765">
        <v>1159.92</v>
      </c>
    </row>
    <row r="2752" spans="1:6">
      <c r="A2752" s="143">
        <v>11944</v>
      </c>
      <c r="B2752" t="s">
        <v>3411</v>
      </c>
      <c r="C2752" t="s">
        <v>3439</v>
      </c>
      <c r="D2752" s="45" t="s">
        <v>3740</v>
      </c>
      <c r="E2752">
        <v>1193</v>
      </c>
      <c r="F2752" s="765">
        <v>2564.83</v>
      </c>
    </row>
    <row r="2753" spans="1:6">
      <c r="A2753" s="143">
        <v>31031</v>
      </c>
      <c r="B2753" t="s">
        <v>3425</v>
      </c>
      <c r="C2753" t="s">
        <v>3499</v>
      </c>
      <c r="D2753" s="45" t="s">
        <v>3741</v>
      </c>
      <c r="E2753">
        <v>1193</v>
      </c>
      <c r="F2753" s="765">
        <v>135.66999999999999</v>
      </c>
    </row>
    <row r="2754" spans="1:6">
      <c r="A2754" s="143">
        <v>11472</v>
      </c>
      <c r="B2754" t="s">
        <v>3391</v>
      </c>
      <c r="C2754" t="s">
        <v>3733</v>
      </c>
      <c r="D2754" s="45" t="s">
        <v>3742</v>
      </c>
      <c r="E2754">
        <v>1243</v>
      </c>
      <c r="F2754" s="765">
        <v>14965.14</v>
      </c>
    </row>
    <row r="2755" spans="1:6">
      <c r="A2755" s="143">
        <v>11604</v>
      </c>
      <c r="B2755" t="s">
        <v>3477</v>
      </c>
      <c r="C2755" t="s">
        <v>3478</v>
      </c>
      <c r="D2755" s="45" t="s">
        <v>3743</v>
      </c>
      <c r="E2755">
        <v>1243</v>
      </c>
      <c r="F2755" s="765">
        <v>5220.5</v>
      </c>
    </row>
    <row r="2756" spans="1:6">
      <c r="A2756" s="143">
        <v>11749</v>
      </c>
      <c r="B2756" t="s">
        <v>3573</v>
      </c>
      <c r="C2756" t="s">
        <v>3574</v>
      </c>
      <c r="D2756" s="45" t="s">
        <v>3744</v>
      </c>
      <c r="E2756">
        <v>1243</v>
      </c>
      <c r="F2756" s="765">
        <v>434.51</v>
      </c>
    </row>
    <row r="2757" spans="1:6">
      <c r="A2757" s="143">
        <v>11944</v>
      </c>
      <c r="B2757" t="s">
        <v>3411</v>
      </c>
      <c r="C2757" t="s">
        <v>3439</v>
      </c>
      <c r="D2757" s="45" t="s">
        <v>3745</v>
      </c>
      <c r="E2757">
        <v>1243</v>
      </c>
      <c r="F2757" s="765">
        <v>2564.83</v>
      </c>
    </row>
    <row r="2758" spans="1:6">
      <c r="A2758" s="143">
        <v>31027</v>
      </c>
      <c r="B2758" t="s">
        <v>1033</v>
      </c>
      <c r="C2758" t="s">
        <v>3478</v>
      </c>
      <c r="D2758" s="45" t="s">
        <v>3746</v>
      </c>
      <c r="E2758">
        <v>1243</v>
      </c>
      <c r="F2758" s="765">
        <v>3256.17</v>
      </c>
    </row>
    <row r="2759" spans="1:6">
      <c r="A2759" s="143">
        <v>31027</v>
      </c>
      <c r="B2759" t="s">
        <v>1033</v>
      </c>
      <c r="C2759" t="s">
        <v>3478</v>
      </c>
      <c r="D2759" s="45" t="s">
        <v>3747</v>
      </c>
      <c r="E2759">
        <v>1243</v>
      </c>
      <c r="F2759" s="765">
        <v>1390.93</v>
      </c>
    </row>
    <row r="2760" spans="1:6">
      <c r="A2760" s="143">
        <v>31027</v>
      </c>
      <c r="B2760" t="s">
        <v>1033</v>
      </c>
      <c r="C2760" t="s">
        <v>3478</v>
      </c>
      <c r="D2760" s="45" t="s">
        <v>3748</v>
      </c>
      <c r="E2760">
        <v>1243</v>
      </c>
      <c r="F2760" s="765">
        <v>791.25</v>
      </c>
    </row>
    <row r="2761" spans="1:6">
      <c r="A2761" s="143">
        <v>11953</v>
      </c>
      <c r="B2761" t="s">
        <v>3602</v>
      </c>
      <c r="C2761" t="s">
        <v>3603</v>
      </c>
      <c r="D2761" s="45" t="s">
        <v>3749</v>
      </c>
      <c r="E2761">
        <v>1246</v>
      </c>
      <c r="F2761" s="765">
        <v>1025.93</v>
      </c>
    </row>
    <row r="2762" spans="1:6">
      <c r="A2762" s="143">
        <v>11953</v>
      </c>
      <c r="B2762" t="s">
        <v>3602</v>
      </c>
      <c r="C2762" t="s">
        <v>3603</v>
      </c>
      <c r="D2762" s="45" t="s">
        <v>3750</v>
      </c>
      <c r="E2762">
        <v>1246</v>
      </c>
      <c r="F2762" s="765">
        <v>502.12</v>
      </c>
    </row>
    <row r="2763" spans="1:6">
      <c r="A2763" s="143">
        <v>11312</v>
      </c>
      <c r="B2763" t="s">
        <v>3382</v>
      </c>
      <c r="C2763" t="s">
        <v>3508</v>
      </c>
      <c r="D2763" s="45" t="s">
        <v>3751</v>
      </c>
      <c r="E2763">
        <v>1269</v>
      </c>
      <c r="F2763" s="765">
        <v>152395.37</v>
      </c>
    </row>
    <row r="2764" spans="1:6">
      <c r="A2764" s="143">
        <v>11472</v>
      </c>
      <c r="B2764" t="s">
        <v>3391</v>
      </c>
      <c r="C2764" t="s">
        <v>3733</v>
      </c>
      <c r="D2764" s="45" t="s">
        <v>3752</v>
      </c>
      <c r="E2764">
        <v>1269</v>
      </c>
      <c r="F2764" s="765">
        <v>23207.31</v>
      </c>
    </row>
    <row r="2765" spans="1:6">
      <c r="A2765" s="143">
        <v>11669</v>
      </c>
      <c r="B2765" t="s">
        <v>1140</v>
      </c>
      <c r="C2765" t="s">
        <v>3632</v>
      </c>
      <c r="D2765" s="45" t="s">
        <v>3753</v>
      </c>
      <c r="E2765">
        <v>1269</v>
      </c>
      <c r="F2765" s="765">
        <v>1950.52</v>
      </c>
    </row>
    <row r="2766" spans="1:6">
      <c r="A2766" s="143">
        <v>11801</v>
      </c>
      <c r="B2766" t="s">
        <v>2077</v>
      </c>
      <c r="C2766" t="s">
        <v>3482</v>
      </c>
      <c r="D2766" s="45" t="s">
        <v>3754</v>
      </c>
      <c r="E2766">
        <v>1269</v>
      </c>
      <c r="F2766" s="765">
        <v>3057.27</v>
      </c>
    </row>
    <row r="2767" spans="1:6">
      <c r="A2767" s="143">
        <v>11944</v>
      </c>
      <c r="B2767" t="s">
        <v>3411</v>
      </c>
      <c r="C2767" t="s">
        <v>3439</v>
      </c>
      <c r="D2767" s="45" t="s">
        <v>3755</v>
      </c>
      <c r="E2767">
        <v>1269</v>
      </c>
      <c r="F2767" s="765">
        <v>2564.8200000000002</v>
      </c>
    </row>
    <row r="2768" spans="1:6">
      <c r="A2768" s="143">
        <v>21093</v>
      </c>
      <c r="B2768" t="s">
        <v>3717</v>
      </c>
      <c r="C2768" t="s">
        <v>3718</v>
      </c>
      <c r="D2768" s="45" t="s">
        <v>3756</v>
      </c>
      <c r="E2768">
        <v>1269</v>
      </c>
      <c r="F2768" s="765">
        <v>20486.71</v>
      </c>
    </row>
    <row r="2769" spans="1:7">
      <c r="A2769" s="143">
        <v>31009</v>
      </c>
      <c r="B2769" t="s">
        <v>3374</v>
      </c>
      <c r="C2769" t="s">
        <v>3443</v>
      </c>
      <c r="D2769" s="45" t="s">
        <v>3757</v>
      </c>
      <c r="E2769">
        <v>1269</v>
      </c>
      <c r="F2769" s="765">
        <v>1446.57</v>
      </c>
    </row>
    <row r="2770" spans="1:7">
      <c r="A2770" s="143">
        <v>11370</v>
      </c>
      <c r="B2770" t="s">
        <v>3386</v>
      </c>
      <c r="C2770" t="s">
        <v>3593</v>
      </c>
      <c r="D2770" s="45" t="s">
        <v>3758</v>
      </c>
      <c r="E2770">
        <v>1299</v>
      </c>
      <c r="F2770" s="765">
        <v>653.25</v>
      </c>
    </row>
    <row r="2771" spans="1:7">
      <c r="A2771" s="143">
        <v>11472</v>
      </c>
      <c r="B2771" t="s">
        <v>3391</v>
      </c>
      <c r="C2771" t="s">
        <v>3733</v>
      </c>
      <c r="D2771" s="45" t="s">
        <v>3759</v>
      </c>
      <c r="E2771">
        <v>1299</v>
      </c>
      <c r="F2771" s="765">
        <v>20833.02</v>
      </c>
    </row>
    <row r="2772" spans="1:7">
      <c r="A2772" s="143">
        <v>11604</v>
      </c>
      <c r="B2772" t="s">
        <v>3477</v>
      </c>
      <c r="C2772" t="s">
        <v>3478</v>
      </c>
      <c r="D2772" s="45" t="s">
        <v>3760</v>
      </c>
      <c r="E2772">
        <v>1299</v>
      </c>
      <c r="F2772" s="765">
        <v>1469.37</v>
      </c>
    </row>
    <row r="2773" spans="1:7">
      <c r="A2773" s="143">
        <v>11604</v>
      </c>
      <c r="B2773" t="s">
        <v>3477</v>
      </c>
      <c r="C2773" t="s">
        <v>3478</v>
      </c>
      <c r="D2773" s="45" t="s">
        <v>3761</v>
      </c>
      <c r="E2773">
        <v>1299</v>
      </c>
      <c r="F2773" s="765">
        <v>4884.25</v>
      </c>
    </row>
    <row r="2774" spans="1:7">
      <c r="A2774" s="143">
        <v>21066</v>
      </c>
      <c r="B2774" t="s">
        <v>3713</v>
      </c>
      <c r="C2774" t="s">
        <v>3597</v>
      </c>
      <c r="D2774" s="45" t="s">
        <v>3762</v>
      </c>
      <c r="E2774">
        <v>1299</v>
      </c>
      <c r="F2774" s="765">
        <v>2001.19</v>
      </c>
    </row>
    <row r="2775" spans="1:7">
      <c r="A2775" s="143">
        <v>11944</v>
      </c>
      <c r="B2775" t="s">
        <v>3411</v>
      </c>
      <c r="C2775" t="s">
        <v>3439</v>
      </c>
      <c r="D2775" s="45" t="s">
        <v>3763</v>
      </c>
      <c r="E2775">
        <v>1300</v>
      </c>
      <c r="F2775" s="765">
        <v>2564.8200000000002</v>
      </c>
    </row>
    <row r="2776" spans="1:7">
      <c r="A2776" s="143">
        <v>11712</v>
      </c>
      <c r="B2776" t="s">
        <v>3398</v>
      </c>
      <c r="C2776" t="s">
        <v>3764</v>
      </c>
      <c r="D2776" s="45" t="s">
        <v>3766</v>
      </c>
      <c r="E2776">
        <v>1306</v>
      </c>
      <c r="F2776" s="765">
        <v>2666.57</v>
      </c>
    </row>
    <row r="2777" spans="1:7">
      <c r="A2777" s="143">
        <v>11712</v>
      </c>
      <c r="B2777" t="s">
        <v>3398</v>
      </c>
      <c r="C2777" t="s">
        <v>3764</v>
      </c>
      <c r="D2777" s="45" t="s">
        <v>3765</v>
      </c>
      <c r="E2777">
        <v>1306</v>
      </c>
      <c r="F2777" s="765">
        <v>4232.4799999999996</v>
      </c>
    </row>
    <row r="2778" spans="1:7" ht="15">
      <c r="A2778" s="1555"/>
      <c r="B2778" s="1555" t="s">
        <v>6658</v>
      </c>
      <c r="C2778" s="1555"/>
      <c r="D2778" s="1556"/>
      <c r="E2778" s="1555"/>
      <c r="F2778" s="1557"/>
      <c r="G2778" s="1558">
        <f>SUM(F2210:F2777)</f>
        <v>2817717.9099999992</v>
      </c>
    </row>
    <row r="2780" spans="1:7">
      <c r="B2780" s="135" t="s">
        <v>4138</v>
      </c>
      <c r="C2780" s="135"/>
      <c r="D2780" s="135"/>
      <c r="E2780" s="135"/>
      <c r="F2780" s="766">
        <f>SUM(F1791:F2779)</f>
        <v>8263016.7400000021</v>
      </c>
      <c r="G2780" s="766">
        <f>SUM(G1791:G2779)</f>
        <v>8263016.7399999993</v>
      </c>
    </row>
  </sheetData>
  <mergeCells count="3">
    <mergeCell ref="A1788:F1788"/>
    <mergeCell ref="A1789:B1789"/>
    <mergeCell ref="D1789:F178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8AD8-5ACD-42CF-9E53-9521ECB9C54B}">
  <dimension ref="A1:AT404"/>
  <sheetViews>
    <sheetView topLeftCell="A378" workbookViewId="0">
      <selection activeCell="V405" sqref="V405"/>
    </sheetView>
  </sheetViews>
  <sheetFormatPr baseColWidth="10" defaultRowHeight="9"/>
  <cols>
    <col min="1" max="1" width="4.7109375" style="1414" customWidth="1"/>
    <col min="2" max="2" width="7" style="1414" customWidth="1"/>
    <col min="3" max="3" width="34.28515625" style="1414" customWidth="1"/>
    <col min="4" max="4" width="10.7109375" style="1414" hidden="1" customWidth="1"/>
    <col min="5" max="5" width="13.7109375" style="1414" hidden="1" customWidth="1"/>
    <col min="6" max="6" width="14.42578125" style="1414" hidden="1" customWidth="1"/>
    <col min="7" max="7" width="5.42578125" style="1414" hidden="1" customWidth="1"/>
    <col min="8" max="8" width="7.85546875" style="1414" hidden="1" customWidth="1"/>
    <col min="9" max="9" width="5.5703125" style="1414" hidden="1" customWidth="1"/>
    <col min="10" max="10" width="8" style="1414" hidden="1" customWidth="1"/>
    <col min="11" max="11" width="15.28515625" style="1414" hidden="1" customWidth="1"/>
    <col min="12" max="12" width="13.5703125" style="1414" hidden="1" customWidth="1"/>
    <col min="13" max="13" width="8.42578125" style="1414" hidden="1" customWidth="1"/>
    <col min="14" max="14" width="11.7109375" style="1414" bestFit="1" customWidth="1"/>
    <col min="15" max="15" width="10.85546875" style="1414" bestFit="1" customWidth="1"/>
    <col min="16" max="16" width="12.85546875" style="1423" hidden="1" customWidth="1"/>
    <col min="17" max="17" width="11.85546875" style="1423" hidden="1" customWidth="1"/>
    <col min="18" max="18" width="13.140625" style="1414" hidden="1" customWidth="1"/>
    <col min="19" max="19" width="7.28515625" style="1414" hidden="1" customWidth="1"/>
    <col min="20" max="20" width="11.42578125" style="1414" hidden="1" customWidth="1"/>
    <col min="21" max="21" width="8.7109375" style="1414" hidden="1" customWidth="1"/>
    <col min="22" max="22" width="12.5703125" style="1373" customWidth="1"/>
    <col min="23" max="23" width="12.85546875" style="1373" bestFit="1" customWidth="1"/>
    <col min="24" max="24" width="12" style="1373" bestFit="1" customWidth="1"/>
    <col min="25" max="25" width="12.85546875" style="1373" customWidth="1"/>
    <col min="26" max="26" width="3" style="1414" hidden="1" customWidth="1"/>
    <col min="27" max="27" width="8.5703125" style="1414" hidden="1" customWidth="1"/>
    <col min="28" max="28" width="34.5703125" style="1414" hidden="1" customWidth="1"/>
    <col min="29" max="29" width="45.28515625" style="1414" hidden="1" customWidth="1"/>
    <col min="30" max="30" width="6.5703125" style="1414" hidden="1" customWidth="1"/>
    <col min="31" max="31" width="10" style="1414" hidden="1" customWidth="1"/>
    <col min="32" max="32" width="10.7109375" style="1414" hidden="1" customWidth="1"/>
    <col min="33" max="33" width="9.28515625" style="1414" hidden="1" customWidth="1"/>
    <col min="34" max="34" width="10.42578125" style="1414" hidden="1" customWidth="1"/>
    <col min="35" max="35" width="6.28515625" style="1414" hidden="1" customWidth="1"/>
    <col min="36" max="36" width="4.5703125" style="1414" hidden="1" customWidth="1"/>
    <col min="37" max="37" width="61.85546875" style="1414" hidden="1" customWidth="1"/>
    <col min="38" max="39" width="0" style="1414" hidden="1" customWidth="1"/>
    <col min="40" max="40" width="38.5703125" style="1414" hidden="1" customWidth="1"/>
    <col min="41" max="41" width="24.28515625" style="1414" hidden="1" customWidth="1"/>
    <col min="42" max="49" width="0" style="1414" hidden="1" customWidth="1"/>
    <col min="50" max="256" width="11.42578125" style="1414"/>
    <col min="257" max="257" width="4.7109375" style="1414" customWidth="1"/>
    <col min="258" max="258" width="7" style="1414" customWidth="1"/>
    <col min="259" max="259" width="34.28515625" style="1414" customWidth="1"/>
    <col min="260" max="269" width="0" style="1414" hidden="1" customWidth="1"/>
    <col min="270" max="270" width="11.7109375" style="1414" bestFit="1" customWidth="1"/>
    <col min="271" max="271" width="10.85546875" style="1414" bestFit="1" customWidth="1"/>
    <col min="272" max="277" width="0" style="1414" hidden="1" customWidth="1"/>
    <col min="278" max="278" width="12.5703125" style="1414" customWidth="1"/>
    <col min="279" max="279" width="12.85546875" style="1414" bestFit="1" customWidth="1"/>
    <col min="280" max="280" width="12" style="1414" bestFit="1" customWidth="1"/>
    <col min="281" max="281" width="12.85546875" style="1414" customWidth="1"/>
    <col min="282" max="282" width="3" style="1414" customWidth="1"/>
    <col min="283" max="285" width="0" style="1414" hidden="1" customWidth="1"/>
    <col min="286" max="286" width="6.5703125" style="1414" customWidth="1"/>
    <col min="287" max="287" width="10" style="1414" customWidth="1"/>
    <col min="288" max="288" width="10.7109375" style="1414" customWidth="1"/>
    <col min="289" max="289" width="9.28515625" style="1414" customWidth="1"/>
    <col min="290" max="290" width="10.42578125" style="1414" customWidth="1"/>
    <col min="291" max="291" width="6.28515625" style="1414" customWidth="1"/>
    <col min="292" max="292" width="4.5703125" style="1414" customWidth="1"/>
    <col min="293" max="293" width="61.85546875" style="1414" customWidth="1"/>
    <col min="294" max="295" width="11.42578125" style="1414"/>
    <col min="296" max="296" width="38.5703125" style="1414" customWidth="1"/>
    <col min="297" max="297" width="24.28515625" style="1414" customWidth="1"/>
    <col min="298" max="512" width="11.42578125" style="1414"/>
    <col min="513" max="513" width="4.7109375" style="1414" customWidth="1"/>
    <col min="514" max="514" width="7" style="1414" customWidth="1"/>
    <col min="515" max="515" width="34.28515625" style="1414" customWidth="1"/>
    <col min="516" max="525" width="0" style="1414" hidden="1" customWidth="1"/>
    <col min="526" max="526" width="11.7109375" style="1414" bestFit="1" customWidth="1"/>
    <col min="527" max="527" width="10.85546875" style="1414" bestFit="1" customWidth="1"/>
    <col min="528" max="533" width="0" style="1414" hidden="1" customWidth="1"/>
    <col min="534" max="534" width="12.5703125" style="1414" customWidth="1"/>
    <col min="535" max="535" width="12.85546875" style="1414" bestFit="1" customWidth="1"/>
    <col min="536" max="536" width="12" style="1414" bestFit="1" customWidth="1"/>
    <col min="537" max="537" width="12.85546875" style="1414" customWidth="1"/>
    <col min="538" max="538" width="3" style="1414" customWidth="1"/>
    <col min="539" max="541" width="0" style="1414" hidden="1" customWidth="1"/>
    <col min="542" max="542" width="6.5703125" style="1414" customWidth="1"/>
    <col min="543" max="543" width="10" style="1414" customWidth="1"/>
    <col min="544" max="544" width="10.7109375" style="1414" customWidth="1"/>
    <col min="545" max="545" width="9.28515625" style="1414" customWidth="1"/>
    <col min="546" max="546" width="10.42578125" style="1414" customWidth="1"/>
    <col min="547" max="547" width="6.28515625" style="1414" customWidth="1"/>
    <col min="548" max="548" width="4.5703125" style="1414" customWidth="1"/>
    <col min="549" max="549" width="61.85546875" style="1414" customWidth="1"/>
    <col min="550" max="551" width="11.42578125" style="1414"/>
    <col min="552" max="552" width="38.5703125" style="1414" customWidth="1"/>
    <col min="553" max="553" width="24.28515625" style="1414" customWidth="1"/>
    <col min="554" max="768" width="11.42578125" style="1414"/>
    <col min="769" max="769" width="4.7109375" style="1414" customWidth="1"/>
    <col min="770" max="770" width="7" style="1414" customWidth="1"/>
    <col min="771" max="771" width="34.28515625" style="1414" customWidth="1"/>
    <col min="772" max="781" width="0" style="1414" hidden="1" customWidth="1"/>
    <col min="782" max="782" width="11.7109375" style="1414" bestFit="1" customWidth="1"/>
    <col min="783" max="783" width="10.85546875" style="1414" bestFit="1" customWidth="1"/>
    <col min="784" max="789" width="0" style="1414" hidden="1" customWidth="1"/>
    <col min="790" max="790" width="12.5703125" style="1414" customWidth="1"/>
    <col min="791" max="791" width="12.85546875" style="1414" bestFit="1" customWidth="1"/>
    <col min="792" max="792" width="12" style="1414" bestFit="1" customWidth="1"/>
    <col min="793" max="793" width="12.85546875" style="1414" customWidth="1"/>
    <col min="794" max="794" width="3" style="1414" customWidth="1"/>
    <col min="795" max="797" width="0" style="1414" hidden="1" customWidth="1"/>
    <col min="798" max="798" width="6.5703125" style="1414" customWidth="1"/>
    <col min="799" max="799" width="10" style="1414" customWidth="1"/>
    <col min="800" max="800" width="10.7109375" style="1414" customWidth="1"/>
    <col min="801" max="801" width="9.28515625" style="1414" customWidth="1"/>
    <col min="802" max="802" width="10.42578125" style="1414" customWidth="1"/>
    <col min="803" max="803" width="6.28515625" style="1414" customWidth="1"/>
    <col min="804" max="804" width="4.5703125" style="1414" customWidth="1"/>
    <col min="805" max="805" width="61.85546875" style="1414" customWidth="1"/>
    <col min="806" max="807" width="11.42578125" style="1414"/>
    <col min="808" max="808" width="38.5703125" style="1414" customWidth="1"/>
    <col min="809" max="809" width="24.28515625" style="1414" customWidth="1"/>
    <col min="810" max="1024" width="11.42578125" style="1414"/>
    <col min="1025" max="1025" width="4.7109375" style="1414" customWidth="1"/>
    <col min="1026" max="1026" width="7" style="1414" customWidth="1"/>
    <col min="1027" max="1027" width="34.28515625" style="1414" customWidth="1"/>
    <col min="1028" max="1037" width="0" style="1414" hidden="1" customWidth="1"/>
    <col min="1038" max="1038" width="11.7109375" style="1414" bestFit="1" customWidth="1"/>
    <col min="1039" max="1039" width="10.85546875" style="1414" bestFit="1" customWidth="1"/>
    <col min="1040" max="1045" width="0" style="1414" hidden="1" customWidth="1"/>
    <col min="1046" max="1046" width="12.5703125" style="1414" customWidth="1"/>
    <col min="1047" max="1047" width="12.85546875" style="1414" bestFit="1" customWidth="1"/>
    <col min="1048" max="1048" width="12" style="1414" bestFit="1" customWidth="1"/>
    <col min="1049" max="1049" width="12.85546875" style="1414" customWidth="1"/>
    <col min="1050" max="1050" width="3" style="1414" customWidth="1"/>
    <col min="1051" max="1053" width="0" style="1414" hidden="1" customWidth="1"/>
    <col min="1054" max="1054" width="6.5703125" style="1414" customWidth="1"/>
    <col min="1055" max="1055" width="10" style="1414" customWidth="1"/>
    <col min="1056" max="1056" width="10.7109375" style="1414" customWidth="1"/>
    <col min="1057" max="1057" width="9.28515625" style="1414" customWidth="1"/>
    <col min="1058" max="1058" width="10.42578125" style="1414" customWidth="1"/>
    <col min="1059" max="1059" width="6.28515625" style="1414" customWidth="1"/>
    <col min="1060" max="1060" width="4.5703125" style="1414" customWidth="1"/>
    <col min="1061" max="1061" width="61.85546875" style="1414" customWidth="1"/>
    <col min="1062" max="1063" width="11.42578125" style="1414"/>
    <col min="1064" max="1064" width="38.5703125" style="1414" customWidth="1"/>
    <col min="1065" max="1065" width="24.28515625" style="1414" customWidth="1"/>
    <col min="1066" max="1280" width="11.42578125" style="1414"/>
    <col min="1281" max="1281" width="4.7109375" style="1414" customWidth="1"/>
    <col min="1282" max="1282" width="7" style="1414" customWidth="1"/>
    <col min="1283" max="1283" width="34.28515625" style="1414" customWidth="1"/>
    <col min="1284" max="1293" width="0" style="1414" hidden="1" customWidth="1"/>
    <col min="1294" max="1294" width="11.7109375" style="1414" bestFit="1" customWidth="1"/>
    <col min="1295" max="1295" width="10.85546875" style="1414" bestFit="1" customWidth="1"/>
    <col min="1296" max="1301" width="0" style="1414" hidden="1" customWidth="1"/>
    <col min="1302" max="1302" width="12.5703125" style="1414" customWidth="1"/>
    <col min="1303" max="1303" width="12.85546875" style="1414" bestFit="1" customWidth="1"/>
    <col min="1304" max="1304" width="12" style="1414" bestFit="1" customWidth="1"/>
    <col min="1305" max="1305" width="12.85546875" style="1414" customWidth="1"/>
    <col min="1306" max="1306" width="3" style="1414" customWidth="1"/>
    <col min="1307" max="1309" width="0" style="1414" hidden="1" customWidth="1"/>
    <col min="1310" max="1310" width="6.5703125" style="1414" customWidth="1"/>
    <col min="1311" max="1311" width="10" style="1414" customWidth="1"/>
    <col min="1312" max="1312" width="10.7109375" style="1414" customWidth="1"/>
    <col min="1313" max="1313" width="9.28515625" style="1414" customWidth="1"/>
    <col min="1314" max="1314" width="10.42578125" style="1414" customWidth="1"/>
    <col min="1315" max="1315" width="6.28515625" style="1414" customWidth="1"/>
    <col min="1316" max="1316" width="4.5703125" style="1414" customWidth="1"/>
    <col min="1317" max="1317" width="61.85546875" style="1414" customWidth="1"/>
    <col min="1318" max="1319" width="11.42578125" style="1414"/>
    <col min="1320" max="1320" width="38.5703125" style="1414" customWidth="1"/>
    <col min="1321" max="1321" width="24.28515625" style="1414" customWidth="1"/>
    <col min="1322" max="1536" width="11.42578125" style="1414"/>
    <col min="1537" max="1537" width="4.7109375" style="1414" customWidth="1"/>
    <col min="1538" max="1538" width="7" style="1414" customWidth="1"/>
    <col min="1539" max="1539" width="34.28515625" style="1414" customWidth="1"/>
    <col min="1540" max="1549" width="0" style="1414" hidden="1" customWidth="1"/>
    <col min="1550" max="1550" width="11.7109375" style="1414" bestFit="1" customWidth="1"/>
    <col min="1551" max="1551" width="10.85546875" style="1414" bestFit="1" customWidth="1"/>
    <col min="1552" max="1557" width="0" style="1414" hidden="1" customWidth="1"/>
    <col min="1558" max="1558" width="12.5703125" style="1414" customWidth="1"/>
    <col min="1559" max="1559" width="12.85546875" style="1414" bestFit="1" customWidth="1"/>
    <col min="1560" max="1560" width="12" style="1414" bestFit="1" customWidth="1"/>
    <col min="1561" max="1561" width="12.85546875" style="1414" customWidth="1"/>
    <col min="1562" max="1562" width="3" style="1414" customWidth="1"/>
    <col min="1563" max="1565" width="0" style="1414" hidden="1" customWidth="1"/>
    <col min="1566" max="1566" width="6.5703125" style="1414" customWidth="1"/>
    <col min="1567" max="1567" width="10" style="1414" customWidth="1"/>
    <col min="1568" max="1568" width="10.7109375" style="1414" customWidth="1"/>
    <col min="1569" max="1569" width="9.28515625" style="1414" customWidth="1"/>
    <col min="1570" max="1570" width="10.42578125" style="1414" customWidth="1"/>
    <col min="1571" max="1571" width="6.28515625" style="1414" customWidth="1"/>
    <col min="1572" max="1572" width="4.5703125" style="1414" customWidth="1"/>
    <col min="1573" max="1573" width="61.85546875" style="1414" customWidth="1"/>
    <col min="1574" max="1575" width="11.42578125" style="1414"/>
    <col min="1576" max="1576" width="38.5703125" style="1414" customWidth="1"/>
    <col min="1577" max="1577" width="24.28515625" style="1414" customWidth="1"/>
    <col min="1578" max="1792" width="11.42578125" style="1414"/>
    <col min="1793" max="1793" width="4.7109375" style="1414" customWidth="1"/>
    <col min="1794" max="1794" width="7" style="1414" customWidth="1"/>
    <col min="1795" max="1795" width="34.28515625" style="1414" customWidth="1"/>
    <col min="1796" max="1805" width="0" style="1414" hidden="1" customWidth="1"/>
    <col min="1806" max="1806" width="11.7109375" style="1414" bestFit="1" customWidth="1"/>
    <col min="1807" max="1807" width="10.85546875" style="1414" bestFit="1" customWidth="1"/>
    <col min="1808" max="1813" width="0" style="1414" hidden="1" customWidth="1"/>
    <col min="1814" max="1814" width="12.5703125" style="1414" customWidth="1"/>
    <col min="1815" max="1815" width="12.85546875" style="1414" bestFit="1" customWidth="1"/>
    <col min="1816" max="1816" width="12" style="1414" bestFit="1" customWidth="1"/>
    <col min="1817" max="1817" width="12.85546875" style="1414" customWidth="1"/>
    <col min="1818" max="1818" width="3" style="1414" customWidth="1"/>
    <col min="1819" max="1821" width="0" style="1414" hidden="1" customWidth="1"/>
    <col min="1822" max="1822" width="6.5703125" style="1414" customWidth="1"/>
    <col min="1823" max="1823" width="10" style="1414" customWidth="1"/>
    <col min="1824" max="1824" width="10.7109375" style="1414" customWidth="1"/>
    <col min="1825" max="1825" width="9.28515625" style="1414" customWidth="1"/>
    <col min="1826" max="1826" width="10.42578125" style="1414" customWidth="1"/>
    <col min="1827" max="1827" width="6.28515625" style="1414" customWidth="1"/>
    <col min="1828" max="1828" width="4.5703125" style="1414" customWidth="1"/>
    <col min="1829" max="1829" width="61.85546875" style="1414" customWidth="1"/>
    <col min="1830" max="1831" width="11.42578125" style="1414"/>
    <col min="1832" max="1832" width="38.5703125" style="1414" customWidth="1"/>
    <col min="1833" max="1833" width="24.28515625" style="1414" customWidth="1"/>
    <col min="1834" max="2048" width="11.42578125" style="1414"/>
    <col min="2049" max="2049" width="4.7109375" style="1414" customWidth="1"/>
    <col min="2050" max="2050" width="7" style="1414" customWidth="1"/>
    <col min="2051" max="2051" width="34.28515625" style="1414" customWidth="1"/>
    <col min="2052" max="2061" width="0" style="1414" hidden="1" customWidth="1"/>
    <col min="2062" max="2062" width="11.7109375" style="1414" bestFit="1" customWidth="1"/>
    <col min="2063" max="2063" width="10.85546875" style="1414" bestFit="1" customWidth="1"/>
    <col min="2064" max="2069" width="0" style="1414" hidden="1" customWidth="1"/>
    <col min="2070" max="2070" width="12.5703125" style="1414" customWidth="1"/>
    <col min="2071" max="2071" width="12.85546875" style="1414" bestFit="1" customWidth="1"/>
    <col min="2072" max="2072" width="12" style="1414" bestFit="1" customWidth="1"/>
    <col min="2073" max="2073" width="12.85546875" style="1414" customWidth="1"/>
    <col min="2074" max="2074" width="3" style="1414" customWidth="1"/>
    <col min="2075" max="2077" width="0" style="1414" hidden="1" customWidth="1"/>
    <col min="2078" max="2078" width="6.5703125" style="1414" customWidth="1"/>
    <col min="2079" max="2079" width="10" style="1414" customWidth="1"/>
    <col min="2080" max="2080" width="10.7109375" style="1414" customWidth="1"/>
    <col min="2081" max="2081" width="9.28515625" style="1414" customWidth="1"/>
    <col min="2082" max="2082" width="10.42578125" style="1414" customWidth="1"/>
    <col min="2083" max="2083" width="6.28515625" style="1414" customWidth="1"/>
    <col min="2084" max="2084" width="4.5703125" style="1414" customWidth="1"/>
    <col min="2085" max="2085" width="61.85546875" style="1414" customWidth="1"/>
    <col min="2086" max="2087" width="11.42578125" style="1414"/>
    <col min="2088" max="2088" width="38.5703125" style="1414" customWidth="1"/>
    <col min="2089" max="2089" width="24.28515625" style="1414" customWidth="1"/>
    <col min="2090" max="2304" width="11.42578125" style="1414"/>
    <col min="2305" max="2305" width="4.7109375" style="1414" customWidth="1"/>
    <col min="2306" max="2306" width="7" style="1414" customWidth="1"/>
    <col min="2307" max="2307" width="34.28515625" style="1414" customWidth="1"/>
    <col min="2308" max="2317" width="0" style="1414" hidden="1" customWidth="1"/>
    <col min="2318" max="2318" width="11.7109375" style="1414" bestFit="1" customWidth="1"/>
    <col min="2319" max="2319" width="10.85546875" style="1414" bestFit="1" customWidth="1"/>
    <col min="2320" max="2325" width="0" style="1414" hidden="1" customWidth="1"/>
    <col min="2326" max="2326" width="12.5703125" style="1414" customWidth="1"/>
    <col min="2327" max="2327" width="12.85546875" style="1414" bestFit="1" customWidth="1"/>
    <col min="2328" max="2328" width="12" style="1414" bestFit="1" customWidth="1"/>
    <col min="2329" max="2329" width="12.85546875" style="1414" customWidth="1"/>
    <col min="2330" max="2330" width="3" style="1414" customWidth="1"/>
    <col min="2331" max="2333" width="0" style="1414" hidden="1" customWidth="1"/>
    <col min="2334" max="2334" width="6.5703125" style="1414" customWidth="1"/>
    <col min="2335" max="2335" width="10" style="1414" customWidth="1"/>
    <col min="2336" max="2336" width="10.7109375" style="1414" customWidth="1"/>
    <col min="2337" max="2337" width="9.28515625" style="1414" customWidth="1"/>
    <col min="2338" max="2338" width="10.42578125" style="1414" customWidth="1"/>
    <col min="2339" max="2339" width="6.28515625" style="1414" customWidth="1"/>
    <col min="2340" max="2340" width="4.5703125" style="1414" customWidth="1"/>
    <col min="2341" max="2341" width="61.85546875" style="1414" customWidth="1"/>
    <col min="2342" max="2343" width="11.42578125" style="1414"/>
    <col min="2344" max="2344" width="38.5703125" style="1414" customWidth="1"/>
    <col min="2345" max="2345" width="24.28515625" style="1414" customWidth="1"/>
    <col min="2346" max="2560" width="11.42578125" style="1414"/>
    <col min="2561" max="2561" width="4.7109375" style="1414" customWidth="1"/>
    <col min="2562" max="2562" width="7" style="1414" customWidth="1"/>
    <col min="2563" max="2563" width="34.28515625" style="1414" customWidth="1"/>
    <col min="2564" max="2573" width="0" style="1414" hidden="1" customWidth="1"/>
    <col min="2574" max="2574" width="11.7109375" style="1414" bestFit="1" customWidth="1"/>
    <col min="2575" max="2575" width="10.85546875" style="1414" bestFit="1" customWidth="1"/>
    <col min="2576" max="2581" width="0" style="1414" hidden="1" customWidth="1"/>
    <col min="2582" max="2582" width="12.5703125" style="1414" customWidth="1"/>
    <col min="2583" max="2583" width="12.85546875" style="1414" bestFit="1" customWidth="1"/>
    <col min="2584" max="2584" width="12" style="1414" bestFit="1" customWidth="1"/>
    <col min="2585" max="2585" width="12.85546875" style="1414" customWidth="1"/>
    <col min="2586" max="2586" width="3" style="1414" customWidth="1"/>
    <col min="2587" max="2589" width="0" style="1414" hidden="1" customWidth="1"/>
    <col min="2590" max="2590" width="6.5703125" style="1414" customWidth="1"/>
    <col min="2591" max="2591" width="10" style="1414" customWidth="1"/>
    <col min="2592" max="2592" width="10.7109375" style="1414" customWidth="1"/>
    <col min="2593" max="2593" width="9.28515625" style="1414" customWidth="1"/>
    <col min="2594" max="2594" width="10.42578125" style="1414" customWidth="1"/>
    <col min="2595" max="2595" width="6.28515625" style="1414" customWidth="1"/>
    <col min="2596" max="2596" width="4.5703125" style="1414" customWidth="1"/>
    <col min="2597" max="2597" width="61.85546875" style="1414" customWidth="1"/>
    <col min="2598" max="2599" width="11.42578125" style="1414"/>
    <col min="2600" max="2600" width="38.5703125" style="1414" customWidth="1"/>
    <col min="2601" max="2601" width="24.28515625" style="1414" customWidth="1"/>
    <col min="2602" max="2816" width="11.42578125" style="1414"/>
    <col min="2817" max="2817" width="4.7109375" style="1414" customWidth="1"/>
    <col min="2818" max="2818" width="7" style="1414" customWidth="1"/>
    <col min="2819" max="2819" width="34.28515625" style="1414" customWidth="1"/>
    <col min="2820" max="2829" width="0" style="1414" hidden="1" customWidth="1"/>
    <col min="2830" max="2830" width="11.7109375" style="1414" bestFit="1" customWidth="1"/>
    <col min="2831" max="2831" width="10.85546875" style="1414" bestFit="1" customWidth="1"/>
    <col min="2832" max="2837" width="0" style="1414" hidden="1" customWidth="1"/>
    <col min="2838" max="2838" width="12.5703125" style="1414" customWidth="1"/>
    <col min="2839" max="2839" width="12.85546875" style="1414" bestFit="1" customWidth="1"/>
    <col min="2840" max="2840" width="12" style="1414" bestFit="1" customWidth="1"/>
    <col min="2841" max="2841" width="12.85546875" style="1414" customWidth="1"/>
    <col min="2842" max="2842" width="3" style="1414" customWidth="1"/>
    <col min="2843" max="2845" width="0" style="1414" hidden="1" customWidth="1"/>
    <col min="2846" max="2846" width="6.5703125" style="1414" customWidth="1"/>
    <col min="2847" max="2847" width="10" style="1414" customWidth="1"/>
    <col min="2848" max="2848" width="10.7109375" style="1414" customWidth="1"/>
    <col min="2849" max="2849" width="9.28515625" style="1414" customWidth="1"/>
    <col min="2850" max="2850" width="10.42578125" style="1414" customWidth="1"/>
    <col min="2851" max="2851" width="6.28515625" style="1414" customWidth="1"/>
    <col min="2852" max="2852" width="4.5703125" style="1414" customWidth="1"/>
    <col min="2853" max="2853" width="61.85546875" style="1414" customWidth="1"/>
    <col min="2854" max="2855" width="11.42578125" style="1414"/>
    <col min="2856" max="2856" width="38.5703125" style="1414" customWidth="1"/>
    <col min="2857" max="2857" width="24.28515625" style="1414" customWidth="1"/>
    <col min="2858" max="3072" width="11.42578125" style="1414"/>
    <col min="3073" max="3073" width="4.7109375" style="1414" customWidth="1"/>
    <col min="3074" max="3074" width="7" style="1414" customWidth="1"/>
    <col min="3075" max="3075" width="34.28515625" style="1414" customWidth="1"/>
    <col min="3076" max="3085" width="0" style="1414" hidden="1" customWidth="1"/>
    <col min="3086" max="3086" width="11.7109375" style="1414" bestFit="1" customWidth="1"/>
    <col min="3087" max="3087" width="10.85546875" style="1414" bestFit="1" customWidth="1"/>
    <col min="3088" max="3093" width="0" style="1414" hidden="1" customWidth="1"/>
    <col min="3094" max="3094" width="12.5703125" style="1414" customWidth="1"/>
    <col min="3095" max="3095" width="12.85546875" style="1414" bestFit="1" customWidth="1"/>
    <col min="3096" max="3096" width="12" style="1414" bestFit="1" customWidth="1"/>
    <col min="3097" max="3097" width="12.85546875" style="1414" customWidth="1"/>
    <col min="3098" max="3098" width="3" style="1414" customWidth="1"/>
    <col min="3099" max="3101" width="0" style="1414" hidden="1" customWidth="1"/>
    <col min="3102" max="3102" width="6.5703125" style="1414" customWidth="1"/>
    <col min="3103" max="3103" width="10" style="1414" customWidth="1"/>
    <col min="3104" max="3104" width="10.7109375" style="1414" customWidth="1"/>
    <col min="3105" max="3105" width="9.28515625" style="1414" customWidth="1"/>
    <col min="3106" max="3106" width="10.42578125" style="1414" customWidth="1"/>
    <col min="3107" max="3107" width="6.28515625" style="1414" customWidth="1"/>
    <col min="3108" max="3108" width="4.5703125" style="1414" customWidth="1"/>
    <col min="3109" max="3109" width="61.85546875" style="1414" customWidth="1"/>
    <col min="3110" max="3111" width="11.42578125" style="1414"/>
    <col min="3112" max="3112" width="38.5703125" style="1414" customWidth="1"/>
    <col min="3113" max="3113" width="24.28515625" style="1414" customWidth="1"/>
    <col min="3114" max="3328" width="11.42578125" style="1414"/>
    <col min="3329" max="3329" width="4.7109375" style="1414" customWidth="1"/>
    <col min="3330" max="3330" width="7" style="1414" customWidth="1"/>
    <col min="3331" max="3331" width="34.28515625" style="1414" customWidth="1"/>
    <col min="3332" max="3341" width="0" style="1414" hidden="1" customWidth="1"/>
    <col min="3342" max="3342" width="11.7109375" style="1414" bestFit="1" customWidth="1"/>
    <col min="3343" max="3343" width="10.85546875" style="1414" bestFit="1" customWidth="1"/>
    <col min="3344" max="3349" width="0" style="1414" hidden="1" customWidth="1"/>
    <col min="3350" max="3350" width="12.5703125" style="1414" customWidth="1"/>
    <col min="3351" max="3351" width="12.85546875" style="1414" bestFit="1" customWidth="1"/>
    <col min="3352" max="3352" width="12" style="1414" bestFit="1" customWidth="1"/>
    <col min="3353" max="3353" width="12.85546875" style="1414" customWidth="1"/>
    <col min="3354" max="3354" width="3" style="1414" customWidth="1"/>
    <col min="3355" max="3357" width="0" style="1414" hidden="1" customWidth="1"/>
    <col min="3358" max="3358" width="6.5703125" style="1414" customWidth="1"/>
    <col min="3359" max="3359" width="10" style="1414" customWidth="1"/>
    <col min="3360" max="3360" width="10.7109375" style="1414" customWidth="1"/>
    <col min="3361" max="3361" width="9.28515625" style="1414" customWidth="1"/>
    <col min="3362" max="3362" width="10.42578125" style="1414" customWidth="1"/>
    <col min="3363" max="3363" width="6.28515625" style="1414" customWidth="1"/>
    <col min="3364" max="3364" width="4.5703125" style="1414" customWidth="1"/>
    <col min="3365" max="3365" width="61.85546875" style="1414" customWidth="1"/>
    <col min="3366" max="3367" width="11.42578125" style="1414"/>
    <col min="3368" max="3368" width="38.5703125" style="1414" customWidth="1"/>
    <col min="3369" max="3369" width="24.28515625" style="1414" customWidth="1"/>
    <col min="3370" max="3584" width="11.42578125" style="1414"/>
    <col min="3585" max="3585" width="4.7109375" style="1414" customWidth="1"/>
    <col min="3586" max="3586" width="7" style="1414" customWidth="1"/>
    <col min="3587" max="3587" width="34.28515625" style="1414" customWidth="1"/>
    <col min="3588" max="3597" width="0" style="1414" hidden="1" customWidth="1"/>
    <col min="3598" max="3598" width="11.7109375" style="1414" bestFit="1" customWidth="1"/>
    <col min="3599" max="3599" width="10.85546875" style="1414" bestFit="1" customWidth="1"/>
    <col min="3600" max="3605" width="0" style="1414" hidden="1" customWidth="1"/>
    <col min="3606" max="3606" width="12.5703125" style="1414" customWidth="1"/>
    <col min="3607" max="3607" width="12.85546875" style="1414" bestFit="1" customWidth="1"/>
    <col min="3608" max="3608" width="12" style="1414" bestFit="1" customWidth="1"/>
    <col min="3609" max="3609" width="12.85546875" style="1414" customWidth="1"/>
    <col min="3610" max="3610" width="3" style="1414" customWidth="1"/>
    <col min="3611" max="3613" width="0" style="1414" hidden="1" customWidth="1"/>
    <col min="3614" max="3614" width="6.5703125" style="1414" customWidth="1"/>
    <col min="3615" max="3615" width="10" style="1414" customWidth="1"/>
    <col min="3616" max="3616" width="10.7109375" style="1414" customWidth="1"/>
    <col min="3617" max="3617" width="9.28515625" style="1414" customWidth="1"/>
    <col min="3618" max="3618" width="10.42578125" style="1414" customWidth="1"/>
    <col min="3619" max="3619" width="6.28515625" style="1414" customWidth="1"/>
    <col min="3620" max="3620" width="4.5703125" style="1414" customWidth="1"/>
    <col min="3621" max="3621" width="61.85546875" style="1414" customWidth="1"/>
    <col min="3622" max="3623" width="11.42578125" style="1414"/>
    <col min="3624" max="3624" width="38.5703125" style="1414" customWidth="1"/>
    <col min="3625" max="3625" width="24.28515625" style="1414" customWidth="1"/>
    <col min="3626" max="3840" width="11.42578125" style="1414"/>
    <col min="3841" max="3841" width="4.7109375" style="1414" customWidth="1"/>
    <col min="3842" max="3842" width="7" style="1414" customWidth="1"/>
    <col min="3843" max="3843" width="34.28515625" style="1414" customWidth="1"/>
    <col min="3844" max="3853" width="0" style="1414" hidden="1" customWidth="1"/>
    <col min="3854" max="3854" width="11.7109375" style="1414" bestFit="1" customWidth="1"/>
    <col min="3855" max="3855" width="10.85546875" style="1414" bestFit="1" customWidth="1"/>
    <col min="3856" max="3861" width="0" style="1414" hidden="1" customWidth="1"/>
    <col min="3862" max="3862" width="12.5703125" style="1414" customWidth="1"/>
    <col min="3863" max="3863" width="12.85546875" style="1414" bestFit="1" customWidth="1"/>
    <col min="3864" max="3864" width="12" style="1414" bestFit="1" customWidth="1"/>
    <col min="3865" max="3865" width="12.85546875" style="1414" customWidth="1"/>
    <col min="3866" max="3866" width="3" style="1414" customWidth="1"/>
    <col min="3867" max="3869" width="0" style="1414" hidden="1" customWidth="1"/>
    <col min="3870" max="3870" width="6.5703125" style="1414" customWidth="1"/>
    <col min="3871" max="3871" width="10" style="1414" customWidth="1"/>
    <col min="3872" max="3872" width="10.7109375" style="1414" customWidth="1"/>
    <col min="3873" max="3873" width="9.28515625" style="1414" customWidth="1"/>
    <col min="3874" max="3874" width="10.42578125" style="1414" customWidth="1"/>
    <col min="3875" max="3875" width="6.28515625" style="1414" customWidth="1"/>
    <col min="3876" max="3876" width="4.5703125" style="1414" customWidth="1"/>
    <col min="3877" max="3877" width="61.85546875" style="1414" customWidth="1"/>
    <col min="3878" max="3879" width="11.42578125" style="1414"/>
    <col min="3880" max="3880" width="38.5703125" style="1414" customWidth="1"/>
    <col min="3881" max="3881" width="24.28515625" style="1414" customWidth="1"/>
    <col min="3882" max="4096" width="11.42578125" style="1414"/>
    <col min="4097" max="4097" width="4.7109375" style="1414" customWidth="1"/>
    <col min="4098" max="4098" width="7" style="1414" customWidth="1"/>
    <col min="4099" max="4099" width="34.28515625" style="1414" customWidth="1"/>
    <col min="4100" max="4109" width="0" style="1414" hidden="1" customWidth="1"/>
    <col min="4110" max="4110" width="11.7109375" style="1414" bestFit="1" customWidth="1"/>
    <col min="4111" max="4111" width="10.85546875" style="1414" bestFit="1" customWidth="1"/>
    <col min="4112" max="4117" width="0" style="1414" hidden="1" customWidth="1"/>
    <col min="4118" max="4118" width="12.5703125" style="1414" customWidth="1"/>
    <col min="4119" max="4119" width="12.85546875" style="1414" bestFit="1" customWidth="1"/>
    <col min="4120" max="4120" width="12" style="1414" bestFit="1" customWidth="1"/>
    <col min="4121" max="4121" width="12.85546875" style="1414" customWidth="1"/>
    <col min="4122" max="4122" width="3" style="1414" customWidth="1"/>
    <col min="4123" max="4125" width="0" style="1414" hidden="1" customWidth="1"/>
    <col min="4126" max="4126" width="6.5703125" style="1414" customWidth="1"/>
    <col min="4127" max="4127" width="10" style="1414" customWidth="1"/>
    <col min="4128" max="4128" width="10.7109375" style="1414" customWidth="1"/>
    <col min="4129" max="4129" width="9.28515625" style="1414" customWidth="1"/>
    <col min="4130" max="4130" width="10.42578125" style="1414" customWidth="1"/>
    <col min="4131" max="4131" width="6.28515625" style="1414" customWidth="1"/>
    <col min="4132" max="4132" width="4.5703125" style="1414" customWidth="1"/>
    <col min="4133" max="4133" width="61.85546875" style="1414" customWidth="1"/>
    <col min="4134" max="4135" width="11.42578125" style="1414"/>
    <col min="4136" max="4136" width="38.5703125" style="1414" customWidth="1"/>
    <col min="4137" max="4137" width="24.28515625" style="1414" customWidth="1"/>
    <col min="4138" max="4352" width="11.42578125" style="1414"/>
    <col min="4353" max="4353" width="4.7109375" style="1414" customWidth="1"/>
    <col min="4354" max="4354" width="7" style="1414" customWidth="1"/>
    <col min="4355" max="4355" width="34.28515625" style="1414" customWidth="1"/>
    <col min="4356" max="4365" width="0" style="1414" hidden="1" customWidth="1"/>
    <col min="4366" max="4366" width="11.7109375" style="1414" bestFit="1" customWidth="1"/>
    <col min="4367" max="4367" width="10.85546875" style="1414" bestFit="1" customWidth="1"/>
    <col min="4368" max="4373" width="0" style="1414" hidden="1" customWidth="1"/>
    <col min="4374" max="4374" width="12.5703125" style="1414" customWidth="1"/>
    <col min="4375" max="4375" width="12.85546875" style="1414" bestFit="1" customWidth="1"/>
    <col min="4376" max="4376" width="12" style="1414" bestFit="1" customWidth="1"/>
    <col min="4377" max="4377" width="12.85546875" style="1414" customWidth="1"/>
    <col min="4378" max="4378" width="3" style="1414" customWidth="1"/>
    <col min="4379" max="4381" width="0" style="1414" hidden="1" customWidth="1"/>
    <col min="4382" max="4382" width="6.5703125" style="1414" customWidth="1"/>
    <col min="4383" max="4383" width="10" style="1414" customWidth="1"/>
    <col min="4384" max="4384" width="10.7109375" style="1414" customWidth="1"/>
    <col min="4385" max="4385" width="9.28515625" style="1414" customWidth="1"/>
    <col min="4386" max="4386" width="10.42578125" style="1414" customWidth="1"/>
    <col min="4387" max="4387" width="6.28515625" style="1414" customWidth="1"/>
    <col min="4388" max="4388" width="4.5703125" style="1414" customWidth="1"/>
    <col min="4389" max="4389" width="61.85546875" style="1414" customWidth="1"/>
    <col min="4390" max="4391" width="11.42578125" style="1414"/>
    <col min="4392" max="4392" width="38.5703125" style="1414" customWidth="1"/>
    <col min="4393" max="4393" width="24.28515625" style="1414" customWidth="1"/>
    <col min="4394" max="4608" width="11.42578125" style="1414"/>
    <col min="4609" max="4609" width="4.7109375" style="1414" customWidth="1"/>
    <col min="4610" max="4610" width="7" style="1414" customWidth="1"/>
    <col min="4611" max="4611" width="34.28515625" style="1414" customWidth="1"/>
    <col min="4612" max="4621" width="0" style="1414" hidden="1" customWidth="1"/>
    <col min="4622" max="4622" width="11.7109375" style="1414" bestFit="1" customWidth="1"/>
    <col min="4623" max="4623" width="10.85546875" style="1414" bestFit="1" customWidth="1"/>
    <col min="4624" max="4629" width="0" style="1414" hidden="1" customWidth="1"/>
    <col min="4630" max="4630" width="12.5703125" style="1414" customWidth="1"/>
    <col min="4631" max="4631" width="12.85546875" style="1414" bestFit="1" customWidth="1"/>
    <col min="4632" max="4632" width="12" style="1414" bestFit="1" customWidth="1"/>
    <col min="4633" max="4633" width="12.85546875" style="1414" customWidth="1"/>
    <col min="4634" max="4634" width="3" style="1414" customWidth="1"/>
    <col min="4635" max="4637" width="0" style="1414" hidden="1" customWidth="1"/>
    <col min="4638" max="4638" width="6.5703125" style="1414" customWidth="1"/>
    <col min="4639" max="4639" width="10" style="1414" customWidth="1"/>
    <col min="4640" max="4640" width="10.7109375" style="1414" customWidth="1"/>
    <col min="4641" max="4641" width="9.28515625" style="1414" customWidth="1"/>
    <col min="4642" max="4642" width="10.42578125" style="1414" customWidth="1"/>
    <col min="4643" max="4643" width="6.28515625" style="1414" customWidth="1"/>
    <col min="4644" max="4644" width="4.5703125" style="1414" customWidth="1"/>
    <col min="4645" max="4645" width="61.85546875" style="1414" customWidth="1"/>
    <col min="4646" max="4647" width="11.42578125" style="1414"/>
    <col min="4648" max="4648" width="38.5703125" style="1414" customWidth="1"/>
    <col min="4649" max="4649" width="24.28515625" style="1414" customWidth="1"/>
    <col min="4650" max="4864" width="11.42578125" style="1414"/>
    <col min="4865" max="4865" width="4.7109375" style="1414" customWidth="1"/>
    <col min="4866" max="4866" width="7" style="1414" customWidth="1"/>
    <col min="4867" max="4867" width="34.28515625" style="1414" customWidth="1"/>
    <col min="4868" max="4877" width="0" style="1414" hidden="1" customWidth="1"/>
    <col min="4878" max="4878" width="11.7109375" style="1414" bestFit="1" customWidth="1"/>
    <col min="4879" max="4879" width="10.85546875" style="1414" bestFit="1" customWidth="1"/>
    <col min="4880" max="4885" width="0" style="1414" hidden="1" customWidth="1"/>
    <col min="4886" max="4886" width="12.5703125" style="1414" customWidth="1"/>
    <col min="4887" max="4887" width="12.85546875" style="1414" bestFit="1" customWidth="1"/>
    <col min="4888" max="4888" width="12" style="1414" bestFit="1" customWidth="1"/>
    <col min="4889" max="4889" width="12.85546875" style="1414" customWidth="1"/>
    <col min="4890" max="4890" width="3" style="1414" customWidth="1"/>
    <col min="4891" max="4893" width="0" style="1414" hidden="1" customWidth="1"/>
    <col min="4894" max="4894" width="6.5703125" style="1414" customWidth="1"/>
    <col min="4895" max="4895" width="10" style="1414" customWidth="1"/>
    <col min="4896" max="4896" width="10.7109375" style="1414" customWidth="1"/>
    <col min="4897" max="4897" width="9.28515625" style="1414" customWidth="1"/>
    <col min="4898" max="4898" width="10.42578125" style="1414" customWidth="1"/>
    <col min="4899" max="4899" width="6.28515625" style="1414" customWidth="1"/>
    <col min="4900" max="4900" width="4.5703125" style="1414" customWidth="1"/>
    <col min="4901" max="4901" width="61.85546875" style="1414" customWidth="1"/>
    <col min="4902" max="4903" width="11.42578125" style="1414"/>
    <col min="4904" max="4904" width="38.5703125" style="1414" customWidth="1"/>
    <col min="4905" max="4905" width="24.28515625" style="1414" customWidth="1"/>
    <col min="4906" max="5120" width="11.42578125" style="1414"/>
    <col min="5121" max="5121" width="4.7109375" style="1414" customWidth="1"/>
    <col min="5122" max="5122" width="7" style="1414" customWidth="1"/>
    <col min="5123" max="5123" width="34.28515625" style="1414" customWidth="1"/>
    <col min="5124" max="5133" width="0" style="1414" hidden="1" customWidth="1"/>
    <col min="5134" max="5134" width="11.7109375" style="1414" bestFit="1" customWidth="1"/>
    <col min="5135" max="5135" width="10.85546875" style="1414" bestFit="1" customWidth="1"/>
    <col min="5136" max="5141" width="0" style="1414" hidden="1" customWidth="1"/>
    <col min="5142" max="5142" width="12.5703125" style="1414" customWidth="1"/>
    <col min="5143" max="5143" width="12.85546875" style="1414" bestFit="1" customWidth="1"/>
    <col min="5144" max="5144" width="12" style="1414" bestFit="1" customWidth="1"/>
    <col min="5145" max="5145" width="12.85546875" style="1414" customWidth="1"/>
    <col min="5146" max="5146" width="3" style="1414" customWidth="1"/>
    <col min="5147" max="5149" width="0" style="1414" hidden="1" customWidth="1"/>
    <col min="5150" max="5150" width="6.5703125" style="1414" customWidth="1"/>
    <col min="5151" max="5151" width="10" style="1414" customWidth="1"/>
    <col min="5152" max="5152" width="10.7109375" style="1414" customWidth="1"/>
    <col min="5153" max="5153" width="9.28515625" style="1414" customWidth="1"/>
    <col min="5154" max="5154" width="10.42578125" style="1414" customWidth="1"/>
    <col min="5155" max="5155" width="6.28515625" style="1414" customWidth="1"/>
    <col min="5156" max="5156" width="4.5703125" style="1414" customWidth="1"/>
    <col min="5157" max="5157" width="61.85546875" style="1414" customWidth="1"/>
    <col min="5158" max="5159" width="11.42578125" style="1414"/>
    <col min="5160" max="5160" width="38.5703125" style="1414" customWidth="1"/>
    <col min="5161" max="5161" width="24.28515625" style="1414" customWidth="1"/>
    <col min="5162" max="5376" width="11.42578125" style="1414"/>
    <col min="5377" max="5377" width="4.7109375" style="1414" customWidth="1"/>
    <col min="5378" max="5378" width="7" style="1414" customWidth="1"/>
    <col min="5379" max="5379" width="34.28515625" style="1414" customWidth="1"/>
    <col min="5380" max="5389" width="0" style="1414" hidden="1" customWidth="1"/>
    <col min="5390" max="5390" width="11.7109375" style="1414" bestFit="1" customWidth="1"/>
    <col min="5391" max="5391" width="10.85546875" style="1414" bestFit="1" customWidth="1"/>
    <col min="5392" max="5397" width="0" style="1414" hidden="1" customWidth="1"/>
    <col min="5398" max="5398" width="12.5703125" style="1414" customWidth="1"/>
    <col min="5399" max="5399" width="12.85546875" style="1414" bestFit="1" customWidth="1"/>
    <col min="5400" max="5400" width="12" style="1414" bestFit="1" customWidth="1"/>
    <col min="5401" max="5401" width="12.85546875" style="1414" customWidth="1"/>
    <col min="5402" max="5402" width="3" style="1414" customWidth="1"/>
    <col min="5403" max="5405" width="0" style="1414" hidden="1" customWidth="1"/>
    <col min="5406" max="5406" width="6.5703125" style="1414" customWidth="1"/>
    <col min="5407" max="5407" width="10" style="1414" customWidth="1"/>
    <col min="5408" max="5408" width="10.7109375" style="1414" customWidth="1"/>
    <col min="5409" max="5409" width="9.28515625" style="1414" customWidth="1"/>
    <col min="5410" max="5410" width="10.42578125" style="1414" customWidth="1"/>
    <col min="5411" max="5411" width="6.28515625" style="1414" customWidth="1"/>
    <col min="5412" max="5412" width="4.5703125" style="1414" customWidth="1"/>
    <col min="5413" max="5413" width="61.85546875" style="1414" customWidth="1"/>
    <col min="5414" max="5415" width="11.42578125" style="1414"/>
    <col min="5416" max="5416" width="38.5703125" style="1414" customWidth="1"/>
    <col min="5417" max="5417" width="24.28515625" style="1414" customWidth="1"/>
    <col min="5418" max="5632" width="11.42578125" style="1414"/>
    <col min="5633" max="5633" width="4.7109375" style="1414" customWidth="1"/>
    <col min="5634" max="5634" width="7" style="1414" customWidth="1"/>
    <col min="5635" max="5635" width="34.28515625" style="1414" customWidth="1"/>
    <col min="5636" max="5645" width="0" style="1414" hidden="1" customWidth="1"/>
    <col min="5646" max="5646" width="11.7109375" style="1414" bestFit="1" customWidth="1"/>
    <col min="5647" max="5647" width="10.85546875" style="1414" bestFit="1" customWidth="1"/>
    <col min="5648" max="5653" width="0" style="1414" hidden="1" customWidth="1"/>
    <col min="5654" max="5654" width="12.5703125" style="1414" customWidth="1"/>
    <col min="5655" max="5655" width="12.85546875" style="1414" bestFit="1" customWidth="1"/>
    <col min="5656" max="5656" width="12" style="1414" bestFit="1" customWidth="1"/>
    <col min="5657" max="5657" width="12.85546875" style="1414" customWidth="1"/>
    <col min="5658" max="5658" width="3" style="1414" customWidth="1"/>
    <col min="5659" max="5661" width="0" style="1414" hidden="1" customWidth="1"/>
    <col min="5662" max="5662" width="6.5703125" style="1414" customWidth="1"/>
    <col min="5663" max="5663" width="10" style="1414" customWidth="1"/>
    <col min="5664" max="5664" width="10.7109375" style="1414" customWidth="1"/>
    <col min="5665" max="5665" width="9.28515625" style="1414" customWidth="1"/>
    <col min="5666" max="5666" width="10.42578125" style="1414" customWidth="1"/>
    <col min="5667" max="5667" width="6.28515625" style="1414" customWidth="1"/>
    <col min="5668" max="5668" width="4.5703125" style="1414" customWidth="1"/>
    <col min="5669" max="5669" width="61.85546875" style="1414" customWidth="1"/>
    <col min="5670" max="5671" width="11.42578125" style="1414"/>
    <col min="5672" max="5672" width="38.5703125" style="1414" customWidth="1"/>
    <col min="5673" max="5673" width="24.28515625" style="1414" customWidth="1"/>
    <col min="5674" max="5888" width="11.42578125" style="1414"/>
    <col min="5889" max="5889" width="4.7109375" style="1414" customWidth="1"/>
    <col min="5890" max="5890" width="7" style="1414" customWidth="1"/>
    <col min="5891" max="5891" width="34.28515625" style="1414" customWidth="1"/>
    <col min="5892" max="5901" width="0" style="1414" hidden="1" customWidth="1"/>
    <col min="5902" max="5902" width="11.7109375" style="1414" bestFit="1" customWidth="1"/>
    <col min="5903" max="5903" width="10.85546875" style="1414" bestFit="1" customWidth="1"/>
    <col min="5904" max="5909" width="0" style="1414" hidden="1" customWidth="1"/>
    <col min="5910" max="5910" width="12.5703125" style="1414" customWidth="1"/>
    <col min="5911" max="5911" width="12.85546875" style="1414" bestFit="1" customWidth="1"/>
    <col min="5912" max="5912" width="12" style="1414" bestFit="1" customWidth="1"/>
    <col min="5913" max="5913" width="12.85546875" style="1414" customWidth="1"/>
    <col min="5914" max="5914" width="3" style="1414" customWidth="1"/>
    <col min="5915" max="5917" width="0" style="1414" hidden="1" customWidth="1"/>
    <col min="5918" max="5918" width="6.5703125" style="1414" customWidth="1"/>
    <col min="5919" max="5919" width="10" style="1414" customWidth="1"/>
    <col min="5920" max="5920" width="10.7109375" style="1414" customWidth="1"/>
    <col min="5921" max="5921" width="9.28515625" style="1414" customWidth="1"/>
    <col min="5922" max="5922" width="10.42578125" style="1414" customWidth="1"/>
    <col min="5923" max="5923" width="6.28515625" style="1414" customWidth="1"/>
    <col min="5924" max="5924" width="4.5703125" style="1414" customWidth="1"/>
    <col min="5925" max="5925" width="61.85546875" style="1414" customWidth="1"/>
    <col min="5926" max="5927" width="11.42578125" style="1414"/>
    <col min="5928" max="5928" width="38.5703125" style="1414" customWidth="1"/>
    <col min="5929" max="5929" width="24.28515625" style="1414" customWidth="1"/>
    <col min="5930" max="6144" width="11.42578125" style="1414"/>
    <col min="6145" max="6145" width="4.7109375" style="1414" customWidth="1"/>
    <col min="6146" max="6146" width="7" style="1414" customWidth="1"/>
    <col min="6147" max="6147" width="34.28515625" style="1414" customWidth="1"/>
    <col min="6148" max="6157" width="0" style="1414" hidden="1" customWidth="1"/>
    <col min="6158" max="6158" width="11.7109375" style="1414" bestFit="1" customWidth="1"/>
    <col min="6159" max="6159" width="10.85546875" style="1414" bestFit="1" customWidth="1"/>
    <col min="6160" max="6165" width="0" style="1414" hidden="1" customWidth="1"/>
    <col min="6166" max="6166" width="12.5703125" style="1414" customWidth="1"/>
    <col min="6167" max="6167" width="12.85546875" style="1414" bestFit="1" customWidth="1"/>
    <col min="6168" max="6168" width="12" style="1414" bestFit="1" customWidth="1"/>
    <col min="6169" max="6169" width="12.85546875" style="1414" customWidth="1"/>
    <col min="6170" max="6170" width="3" style="1414" customWidth="1"/>
    <col min="6171" max="6173" width="0" style="1414" hidden="1" customWidth="1"/>
    <col min="6174" max="6174" width="6.5703125" style="1414" customWidth="1"/>
    <col min="6175" max="6175" width="10" style="1414" customWidth="1"/>
    <col min="6176" max="6176" width="10.7109375" style="1414" customWidth="1"/>
    <col min="6177" max="6177" width="9.28515625" style="1414" customWidth="1"/>
    <col min="6178" max="6178" width="10.42578125" style="1414" customWidth="1"/>
    <col min="6179" max="6179" width="6.28515625" style="1414" customWidth="1"/>
    <col min="6180" max="6180" width="4.5703125" style="1414" customWidth="1"/>
    <col min="6181" max="6181" width="61.85546875" style="1414" customWidth="1"/>
    <col min="6182" max="6183" width="11.42578125" style="1414"/>
    <col min="6184" max="6184" width="38.5703125" style="1414" customWidth="1"/>
    <col min="6185" max="6185" width="24.28515625" style="1414" customWidth="1"/>
    <col min="6186" max="6400" width="11.42578125" style="1414"/>
    <col min="6401" max="6401" width="4.7109375" style="1414" customWidth="1"/>
    <col min="6402" max="6402" width="7" style="1414" customWidth="1"/>
    <col min="6403" max="6403" width="34.28515625" style="1414" customWidth="1"/>
    <col min="6404" max="6413" width="0" style="1414" hidden="1" customWidth="1"/>
    <col min="6414" max="6414" width="11.7109375" style="1414" bestFit="1" customWidth="1"/>
    <col min="6415" max="6415" width="10.85546875" style="1414" bestFit="1" customWidth="1"/>
    <col min="6416" max="6421" width="0" style="1414" hidden="1" customWidth="1"/>
    <col min="6422" max="6422" width="12.5703125" style="1414" customWidth="1"/>
    <col min="6423" max="6423" width="12.85546875" style="1414" bestFit="1" customWidth="1"/>
    <col min="6424" max="6424" width="12" style="1414" bestFit="1" customWidth="1"/>
    <col min="6425" max="6425" width="12.85546875" style="1414" customWidth="1"/>
    <col min="6426" max="6426" width="3" style="1414" customWidth="1"/>
    <col min="6427" max="6429" width="0" style="1414" hidden="1" customWidth="1"/>
    <col min="6430" max="6430" width="6.5703125" style="1414" customWidth="1"/>
    <col min="6431" max="6431" width="10" style="1414" customWidth="1"/>
    <col min="6432" max="6432" width="10.7109375" style="1414" customWidth="1"/>
    <col min="6433" max="6433" width="9.28515625" style="1414" customWidth="1"/>
    <col min="6434" max="6434" width="10.42578125" style="1414" customWidth="1"/>
    <col min="6435" max="6435" width="6.28515625" style="1414" customWidth="1"/>
    <col min="6436" max="6436" width="4.5703125" style="1414" customWidth="1"/>
    <col min="6437" max="6437" width="61.85546875" style="1414" customWidth="1"/>
    <col min="6438" max="6439" width="11.42578125" style="1414"/>
    <col min="6440" max="6440" width="38.5703125" style="1414" customWidth="1"/>
    <col min="6441" max="6441" width="24.28515625" style="1414" customWidth="1"/>
    <col min="6442" max="6656" width="11.42578125" style="1414"/>
    <col min="6657" max="6657" width="4.7109375" style="1414" customWidth="1"/>
    <col min="6658" max="6658" width="7" style="1414" customWidth="1"/>
    <col min="6659" max="6659" width="34.28515625" style="1414" customWidth="1"/>
    <col min="6660" max="6669" width="0" style="1414" hidden="1" customWidth="1"/>
    <col min="6670" max="6670" width="11.7109375" style="1414" bestFit="1" customWidth="1"/>
    <col min="6671" max="6671" width="10.85546875" style="1414" bestFit="1" customWidth="1"/>
    <col min="6672" max="6677" width="0" style="1414" hidden="1" customWidth="1"/>
    <col min="6678" max="6678" width="12.5703125" style="1414" customWidth="1"/>
    <col min="6679" max="6679" width="12.85546875" style="1414" bestFit="1" customWidth="1"/>
    <col min="6680" max="6680" width="12" style="1414" bestFit="1" customWidth="1"/>
    <col min="6681" max="6681" width="12.85546875" style="1414" customWidth="1"/>
    <col min="6682" max="6682" width="3" style="1414" customWidth="1"/>
    <col min="6683" max="6685" width="0" style="1414" hidden="1" customWidth="1"/>
    <col min="6686" max="6686" width="6.5703125" style="1414" customWidth="1"/>
    <col min="6687" max="6687" width="10" style="1414" customWidth="1"/>
    <col min="6688" max="6688" width="10.7109375" style="1414" customWidth="1"/>
    <col min="6689" max="6689" width="9.28515625" style="1414" customWidth="1"/>
    <col min="6690" max="6690" width="10.42578125" style="1414" customWidth="1"/>
    <col min="6691" max="6691" width="6.28515625" style="1414" customWidth="1"/>
    <col min="6692" max="6692" width="4.5703125" style="1414" customWidth="1"/>
    <col min="6693" max="6693" width="61.85546875" style="1414" customWidth="1"/>
    <col min="6694" max="6695" width="11.42578125" style="1414"/>
    <col min="6696" max="6696" width="38.5703125" style="1414" customWidth="1"/>
    <col min="6697" max="6697" width="24.28515625" style="1414" customWidth="1"/>
    <col min="6698" max="6912" width="11.42578125" style="1414"/>
    <col min="6913" max="6913" width="4.7109375" style="1414" customWidth="1"/>
    <col min="6914" max="6914" width="7" style="1414" customWidth="1"/>
    <col min="6915" max="6915" width="34.28515625" style="1414" customWidth="1"/>
    <col min="6916" max="6925" width="0" style="1414" hidden="1" customWidth="1"/>
    <col min="6926" max="6926" width="11.7109375" style="1414" bestFit="1" customWidth="1"/>
    <col min="6927" max="6927" width="10.85546875" style="1414" bestFit="1" customWidth="1"/>
    <col min="6928" max="6933" width="0" style="1414" hidden="1" customWidth="1"/>
    <col min="6934" max="6934" width="12.5703125" style="1414" customWidth="1"/>
    <col min="6935" max="6935" width="12.85546875" style="1414" bestFit="1" customWidth="1"/>
    <col min="6936" max="6936" width="12" style="1414" bestFit="1" customWidth="1"/>
    <col min="6937" max="6937" width="12.85546875" style="1414" customWidth="1"/>
    <col min="6938" max="6938" width="3" style="1414" customWidth="1"/>
    <col min="6939" max="6941" width="0" style="1414" hidden="1" customWidth="1"/>
    <col min="6942" max="6942" width="6.5703125" style="1414" customWidth="1"/>
    <col min="6943" max="6943" width="10" style="1414" customWidth="1"/>
    <col min="6944" max="6944" width="10.7109375" style="1414" customWidth="1"/>
    <col min="6945" max="6945" width="9.28515625" style="1414" customWidth="1"/>
    <col min="6946" max="6946" width="10.42578125" style="1414" customWidth="1"/>
    <col min="6947" max="6947" width="6.28515625" style="1414" customWidth="1"/>
    <col min="6948" max="6948" width="4.5703125" style="1414" customWidth="1"/>
    <col min="6949" max="6949" width="61.85546875" style="1414" customWidth="1"/>
    <col min="6950" max="6951" width="11.42578125" style="1414"/>
    <col min="6952" max="6952" width="38.5703125" style="1414" customWidth="1"/>
    <col min="6953" max="6953" width="24.28515625" style="1414" customWidth="1"/>
    <col min="6954" max="7168" width="11.42578125" style="1414"/>
    <col min="7169" max="7169" width="4.7109375" style="1414" customWidth="1"/>
    <col min="7170" max="7170" width="7" style="1414" customWidth="1"/>
    <col min="7171" max="7171" width="34.28515625" style="1414" customWidth="1"/>
    <col min="7172" max="7181" width="0" style="1414" hidden="1" customWidth="1"/>
    <col min="7182" max="7182" width="11.7109375" style="1414" bestFit="1" customWidth="1"/>
    <col min="7183" max="7183" width="10.85546875" style="1414" bestFit="1" customWidth="1"/>
    <col min="7184" max="7189" width="0" style="1414" hidden="1" customWidth="1"/>
    <col min="7190" max="7190" width="12.5703125" style="1414" customWidth="1"/>
    <col min="7191" max="7191" width="12.85546875" style="1414" bestFit="1" customWidth="1"/>
    <col min="7192" max="7192" width="12" style="1414" bestFit="1" customWidth="1"/>
    <col min="7193" max="7193" width="12.85546875" style="1414" customWidth="1"/>
    <col min="7194" max="7194" width="3" style="1414" customWidth="1"/>
    <col min="7195" max="7197" width="0" style="1414" hidden="1" customWidth="1"/>
    <col min="7198" max="7198" width="6.5703125" style="1414" customWidth="1"/>
    <col min="7199" max="7199" width="10" style="1414" customWidth="1"/>
    <col min="7200" max="7200" width="10.7109375" style="1414" customWidth="1"/>
    <col min="7201" max="7201" width="9.28515625" style="1414" customWidth="1"/>
    <col min="7202" max="7202" width="10.42578125" style="1414" customWidth="1"/>
    <col min="7203" max="7203" width="6.28515625" style="1414" customWidth="1"/>
    <col min="7204" max="7204" width="4.5703125" style="1414" customWidth="1"/>
    <col min="7205" max="7205" width="61.85546875" style="1414" customWidth="1"/>
    <col min="7206" max="7207" width="11.42578125" style="1414"/>
    <col min="7208" max="7208" width="38.5703125" style="1414" customWidth="1"/>
    <col min="7209" max="7209" width="24.28515625" style="1414" customWidth="1"/>
    <col min="7210" max="7424" width="11.42578125" style="1414"/>
    <col min="7425" max="7425" width="4.7109375" style="1414" customWidth="1"/>
    <col min="7426" max="7426" width="7" style="1414" customWidth="1"/>
    <col min="7427" max="7427" width="34.28515625" style="1414" customWidth="1"/>
    <col min="7428" max="7437" width="0" style="1414" hidden="1" customWidth="1"/>
    <col min="7438" max="7438" width="11.7109375" style="1414" bestFit="1" customWidth="1"/>
    <col min="7439" max="7439" width="10.85546875" style="1414" bestFit="1" customWidth="1"/>
    <col min="7440" max="7445" width="0" style="1414" hidden="1" customWidth="1"/>
    <col min="7446" max="7446" width="12.5703125" style="1414" customWidth="1"/>
    <col min="7447" max="7447" width="12.85546875" style="1414" bestFit="1" customWidth="1"/>
    <col min="7448" max="7448" width="12" style="1414" bestFit="1" customWidth="1"/>
    <col min="7449" max="7449" width="12.85546875" style="1414" customWidth="1"/>
    <col min="7450" max="7450" width="3" style="1414" customWidth="1"/>
    <col min="7451" max="7453" width="0" style="1414" hidden="1" customWidth="1"/>
    <col min="7454" max="7454" width="6.5703125" style="1414" customWidth="1"/>
    <col min="7455" max="7455" width="10" style="1414" customWidth="1"/>
    <col min="7456" max="7456" width="10.7109375" style="1414" customWidth="1"/>
    <col min="7457" max="7457" width="9.28515625" style="1414" customWidth="1"/>
    <col min="7458" max="7458" width="10.42578125" style="1414" customWidth="1"/>
    <col min="7459" max="7459" width="6.28515625" style="1414" customWidth="1"/>
    <col min="7460" max="7460" width="4.5703125" style="1414" customWidth="1"/>
    <col min="7461" max="7461" width="61.85546875" style="1414" customWidth="1"/>
    <col min="7462" max="7463" width="11.42578125" style="1414"/>
    <col min="7464" max="7464" width="38.5703125" style="1414" customWidth="1"/>
    <col min="7465" max="7465" width="24.28515625" style="1414" customWidth="1"/>
    <col min="7466" max="7680" width="11.42578125" style="1414"/>
    <col min="7681" max="7681" width="4.7109375" style="1414" customWidth="1"/>
    <col min="7682" max="7682" width="7" style="1414" customWidth="1"/>
    <col min="7683" max="7683" width="34.28515625" style="1414" customWidth="1"/>
    <col min="7684" max="7693" width="0" style="1414" hidden="1" customWidth="1"/>
    <col min="7694" max="7694" width="11.7109375" style="1414" bestFit="1" customWidth="1"/>
    <col min="7695" max="7695" width="10.85546875" style="1414" bestFit="1" customWidth="1"/>
    <col min="7696" max="7701" width="0" style="1414" hidden="1" customWidth="1"/>
    <col min="7702" max="7702" width="12.5703125" style="1414" customWidth="1"/>
    <col min="7703" max="7703" width="12.85546875" style="1414" bestFit="1" customWidth="1"/>
    <col min="7704" max="7704" width="12" style="1414" bestFit="1" customWidth="1"/>
    <col min="7705" max="7705" width="12.85546875" style="1414" customWidth="1"/>
    <col min="7706" max="7706" width="3" style="1414" customWidth="1"/>
    <col min="7707" max="7709" width="0" style="1414" hidden="1" customWidth="1"/>
    <col min="7710" max="7710" width="6.5703125" style="1414" customWidth="1"/>
    <col min="7711" max="7711" width="10" style="1414" customWidth="1"/>
    <col min="7712" max="7712" width="10.7109375" style="1414" customWidth="1"/>
    <col min="7713" max="7713" width="9.28515625" style="1414" customWidth="1"/>
    <col min="7714" max="7714" width="10.42578125" style="1414" customWidth="1"/>
    <col min="7715" max="7715" width="6.28515625" style="1414" customWidth="1"/>
    <col min="7716" max="7716" width="4.5703125" style="1414" customWidth="1"/>
    <col min="7717" max="7717" width="61.85546875" style="1414" customWidth="1"/>
    <col min="7718" max="7719" width="11.42578125" style="1414"/>
    <col min="7720" max="7720" width="38.5703125" style="1414" customWidth="1"/>
    <col min="7721" max="7721" width="24.28515625" style="1414" customWidth="1"/>
    <col min="7722" max="7936" width="11.42578125" style="1414"/>
    <col min="7937" max="7937" width="4.7109375" style="1414" customWidth="1"/>
    <col min="7938" max="7938" width="7" style="1414" customWidth="1"/>
    <col min="7939" max="7939" width="34.28515625" style="1414" customWidth="1"/>
    <col min="7940" max="7949" width="0" style="1414" hidden="1" customWidth="1"/>
    <col min="7950" max="7950" width="11.7109375" style="1414" bestFit="1" customWidth="1"/>
    <col min="7951" max="7951" width="10.85546875" style="1414" bestFit="1" customWidth="1"/>
    <col min="7952" max="7957" width="0" style="1414" hidden="1" customWidth="1"/>
    <col min="7958" max="7958" width="12.5703125" style="1414" customWidth="1"/>
    <col min="7959" max="7959" width="12.85546875" style="1414" bestFit="1" customWidth="1"/>
    <col min="7960" max="7960" width="12" style="1414" bestFit="1" customWidth="1"/>
    <col min="7961" max="7961" width="12.85546875" style="1414" customWidth="1"/>
    <col min="7962" max="7962" width="3" style="1414" customWidth="1"/>
    <col min="7963" max="7965" width="0" style="1414" hidden="1" customWidth="1"/>
    <col min="7966" max="7966" width="6.5703125" style="1414" customWidth="1"/>
    <col min="7967" max="7967" width="10" style="1414" customWidth="1"/>
    <col min="7968" max="7968" width="10.7109375" style="1414" customWidth="1"/>
    <col min="7969" max="7969" width="9.28515625" style="1414" customWidth="1"/>
    <col min="7970" max="7970" width="10.42578125" style="1414" customWidth="1"/>
    <col min="7971" max="7971" width="6.28515625" style="1414" customWidth="1"/>
    <col min="7972" max="7972" width="4.5703125" style="1414" customWidth="1"/>
    <col min="7973" max="7973" width="61.85546875" style="1414" customWidth="1"/>
    <col min="7974" max="7975" width="11.42578125" style="1414"/>
    <col min="7976" max="7976" width="38.5703125" style="1414" customWidth="1"/>
    <col min="7977" max="7977" width="24.28515625" style="1414" customWidth="1"/>
    <col min="7978" max="8192" width="11.42578125" style="1414"/>
    <col min="8193" max="8193" width="4.7109375" style="1414" customWidth="1"/>
    <col min="8194" max="8194" width="7" style="1414" customWidth="1"/>
    <col min="8195" max="8195" width="34.28515625" style="1414" customWidth="1"/>
    <col min="8196" max="8205" width="0" style="1414" hidden="1" customWidth="1"/>
    <col min="8206" max="8206" width="11.7109375" style="1414" bestFit="1" customWidth="1"/>
    <col min="8207" max="8207" width="10.85546875" style="1414" bestFit="1" customWidth="1"/>
    <col min="8208" max="8213" width="0" style="1414" hidden="1" customWidth="1"/>
    <col min="8214" max="8214" width="12.5703125" style="1414" customWidth="1"/>
    <col min="8215" max="8215" width="12.85546875" style="1414" bestFit="1" customWidth="1"/>
    <col min="8216" max="8216" width="12" style="1414" bestFit="1" customWidth="1"/>
    <col min="8217" max="8217" width="12.85546875" style="1414" customWidth="1"/>
    <col min="8218" max="8218" width="3" style="1414" customWidth="1"/>
    <col min="8219" max="8221" width="0" style="1414" hidden="1" customWidth="1"/>
    <col min="8222" max="8222" width="6.5703125" style="1414" customWidth="1"/>
    <col min="8223" max="8223" width="10" style="1414" customWidth="1"/>
    <col min="8224" max="8224" width="10.7109375" style="1414" customWidth="1"/>
    <col min="8225" max="8225" width="9.28515625" style="1414" customWidth="1"/>
    <col min="8226" max="8226" width="10.42578125" style="1414" customWidth="1"/>
    <col min="8227" max="8227" width="6.28515625" style="1414" customWidth="1"/>
    <col min="8228" max="8228" width="4.5703125" style="1414" customWidth="1"/>
    <col min="8229" max="8229" width="61.85546875" style="1414" customWidth="1"/>
    <col min="8230" max="8231" width="11.42578125" style="1414"/>
    <col min="8232" max="8232" width="38.5703125" style="1414" customWidth="1"/>
    <col min="8233" max="8233" width="24.28515625" style="1414" customWidth="1"/>
    <col min="8234" max="8448" width="11.42578125" style="1414"/>
    <col min="8449" max="8449" width="4.7109375" style="1414" customWidth="1"/>
    <col min="8450" max="8450" width="7" style="1414" customWidth="1"/>
    <col min="8451" max="8451" width="34.28515625" style="1414" customWidth="1"/>
    <col min="8452" max="8461" width="0" style="1414" hidden="1" customWidth="1"/>
    <col min="8462" max="8462" width="11.7109375" style="1414" bestFit="1" customWidth="1"/>
    <col min="8463" max="8463" width="10.85546875" style="1414" bestFit="1" customWidth="1"/>
    <col min="8464" max="8469" width="0" style="1414" hidden="1" customWidth="1"/>
    <col min="8470" max="8470" width="12.5703125" style="1414" customWidth="1"/>
    <col min="8471" max="8471" width="12.85546875" style="1414" bestFit="1" customWidth="1"/>
    <col min="8472" max="8472" width="12" style="1414" bestFit="1" customWidth="1"/>
    <col min="8473" max="8473" width="12.85546875" style="1414" customWidth="1"/>
    <col min="8474" max="8474" width="3" style="1414" customWidth="1"/>
    <col min="8475" max="8477" width="0" style="1414" hidden="1" customWidth="1"/>
    <col min="8478" max="8478" width="6.5703125" style="1414" customWidth="1"/>
    <col min="8479" max="8479" width="10" style="1414" customWidth="1"/>
    <col min="8480" max="8480" width="10.7109375" style="1414" customWidth="1"/>
    <col min="8481" max="8481" width="9.28515625" style="1414" customWidth="1"/>
    <col min="8482" max="8482" width="10.42578125" style="1414" customWidth="1"/>
    <col min="8483" max="8483" width="6.28515625" style="1414" customWidth="1"/>
    <col min="8484" max="8484" width="4.5703125" style="1414" customWidth="1"/>
    <col min="8485" max="8485" width="61.85546875" style="1414" customWidth="1"/>
    <col min="8486" max="8487" width="11.42578125" style="1414"/>
    <col min="8488" max="8488" width="38.5703125" style="1414" customWidth="1"/>
    <col min="8489" max="8489" width="24.28515625" style="1414" customWidth="1"/>
    <col min="8490" max="8704" width="11.42578125" style="1414"/>
    <col min="8705" max="8705" width="4.7109375" style="1414" customWidth="1"/>
    <col min="8706" max="8706" width="7" style="1414" customWidth="1"/>
    <col min="8707" max="8707" width="34.28515625" style="1414" customWidth="1"/>
    <col min="8708" max="8717" width="0" style="1414" hidden="1" customWidth="1"/>
    <col min="8718" max="8718" width="11.7109375" style="1414" bestFit="1" customWidth="1"/>
    <col min="8719" max="8719" width="10.85546875" style="1414" bestFit="1" customWidth="1"/>
    <col min="8720" max="8725" width="0" style="1414" hidden="1" customWidth="1"/>
    <col min="8726" max="8726" width="12.5703125" style="1414" customWidth="1"/>
    <col min="8727" max="8727" width="12.85546875" style="1414" bestFit="1" customWidth="1"/>
    <col min="8728" max="8728" width="12" style="1414" bestFit="1" customWidth="1"/>
    <col min="8729" max="8729" width="12.85546875" style="1414" customWidth="1"/>
    <col min="8730" max="8730" width="3" style="1414" customWidth="1"/>
    <col min="8731" max="8733" width="0" style="1414" hidden="1" customWidth="1"/>
    <col min="8734" max="8734" width="6.5703125" style="1414" customWidth="1"/>
    <col min="8735" max="8735" width="10" style="1414" customWidth="1"/>
    <col min="8736" max="8736" width="10.7109375" style="1414" customWidth="1"/>
    <col min="8737" max="8737" width="9.28515625" style="1414" customWidth="1"/>
    <col min="8738" max="8738" width="10.42578125" style="1414" customWidth="1"/>
    <col min="8739" max="8739" width="6.28515625" style="1414" customWidth="1"/>
    <col min="8740" max="8740" width="4.5703125" style="1414" customWidth="1"/>
    <col min="8741" max="8741" width="61.85546875" style="1414" customWidth="1"/>
    <col min="8742" max="8743" width="11.42578125" style="1414"/>
    <col min="8744" max="8744" width="38.5703125" style="1414" customWidth="1"/>
    <col min="8745" max="8745" width="24.28515625" style="1414" customWidth="1"/>
    <col min="8746" max="8960" width="11.42578125" style="1414"/>
    <col min="8961" max="8961" width="4.7109375" style="1414" customWidth="1"/>
    <col min="8962" max="8962" width="7" style="1414" customWidth="1"/>
    <col min="8963" max="8963" width="34.28515625" style="1414" customWidth="1"/>
    <col min="8964" max="8973" width="0" style="1414" hidden="1" customWidth="1"/>
    <col min="8974" max="8974" width="11.7109375" style="1414" bestFit="1" customWidth="1"/>
    <col min="8975" max="8975" width="10.85546875" style="1414" bestFit="1" customWidth="1"/>
    <col min="8976" max="8981" width="0" style="1414" hidden="1" customWidth="1"/>
    <col min="8982" max="8982" width="12.5703125" style="1414" customWidth="1"/>
    <col min="8983" max="8983" width="12.85546875" style="1414" bestFit="1" customWidth="1"/>
    <col min="8984" max="8984" width="12" style="1414" bestFit="1" customWidth="1"/>
    <col min="8985" max="8985" width="12.85546875" style="1414" customWidth="1"/>
    <col min="8986" max="8986" width="3" style="1414" customWidth="1"/>
    <col min="8987" max="8989" width="0" style="1414" hidden="1" customWidth="1"/>
    <col min="8990" max="8990" width="6.5703125" style="1414" customWidth="1"/>
    <col min="8991" max="8991" width="10" style="1414" customWidth="1"/>
    <col min="8992" max="8992" width="10.7109375" style="1414" customWidth="1"/>
    <col min="8993" max="8993" width="9.28515625" style="1414" customWidth="1"/>
    <col min="8994" max="8994" width="10.42578125" style="1414" customWidth="1"/>
    <col min="8995" max="8995" width="6.28515625" style="1414" customWidth="1"/>
    <col min="8996" max="8996" width="4.5703125" style="1414" customWidth="1"/>
    <col min="8997" max="8997" width="61.85546875" style="1414" customWidth="1"/>
    <col min="8998" max="8999" width="11.42578125" style="1414"/>
    <col min="9000" max="9000" width="38.5703125" style="1414" customWidth="1"/>
    <col min="9001" max="9001" width="24.28515625" style="1414" customWidth="1"/>
    <col min="9002" max="9216" width="11.42578125" style="1414"/>
    <col min="9217" max="9217" width="4.7109375" style="1414" customWidth="1"/>
    <col min="9218" max="9218" width="7" style="1414" customWidth="1"/>
    <col min="9219" max="9219" width="34.28515625" style="1414" customWidth="1"/>
    <col min="9220" max="9229" width="0" style="1414" hidden="1" customWidth="1"/>
    <col min="9230" max="9230" width="11.7109375" style="1414" bestFit="1" customWidth="1"/>
    <col min="9231" max="9231" width="10.85546875" style="1414" bestFit="1" customWidth="1"/>
    <col min="9232" max="9237" width="0" style="1414" hidden="1" customWidth="1"/>
    <col min="9238" max="9238" width="12.5703125" style="1414" customWidth="1"/>
    <col min="9239" max="9239" width="12.85546875" style="1414" bestFit="1" customWidth="1"/>
    <col min="9240" max="9240" width="12" style="1414" bestFit="1" customWidth="1"/>
    <col min="9241" max="9241" width="12.85546875" style="1414" customWidth="1"/>
    <col min="9242" max="9242" width="3" style="1414" customWidth="1"/>
    <col min="9243" max="9245" width="0" style="1414" hidden="1" customWidth="1"/>
    <col min="9246" max="9246" width="6.5703125" style="1414" customWidth="1"/>
    <col min="9247" max="9247" width="10" style="1414" customWidth="1"/>
    <col min="9248" max="9248" width="10.7109375" style="1414" customWidth="1"/>
    <col min="9249" max="9249" width="9.28515625" style="1414" customWidth="1"/>
    <col min="9250" max="9250" width="10.42578125" style="1414" customWidth="1"/>
    <col min="9251" max="9251" width="6.28515625" style="1414" customWidth="1"/>
    <col min="9252" max="9252" width="4.5703125" style="1414" customWidth="1"/>
    <col min="9253" max="9253" width="61.85546875" style="1414" customWidth="1"/>
    <col min="9254" max="9255" width="11.42578125" style="1414"/>
    <col min="9256" max="9256" width="38.5703125" style="1414" customWidth="1"/>
    <col min="9257" max="9257" width="24.28515625" style="1414" customWidth="1"/>
    <col min="9258" max="9472" width="11.42578125" style="1414"/>
    <col min="9473" max="9473" width="4.7109375" style="1414" customWidth="1"/>
    <col min="9474" max="9474" width="7" style="1414" customWidth="1"/>
    <col min="9475" max="9475" width="34.28515625" style="1414" customWidth="1"/>
    <col min="9476" max="9485" width="0" style="1414" hidden="1" customWidth="1"/>
    <col min="9486" max="9486" width="11.7109375" style="1414" bestFit="1" customWidth="1"/>
    <col min="9487" max="9487" width="10.85546875" style="1414" bestFit="1" customWidth="1"/>
    <col min="9488" max="9493" width="0" style="1414" hidden="1" customWidth="1"/>
    <col min="9494" max="9494" width="12.5703125" style="1414" customWidth="1"/>
    <col min="9495" max="9495" width="12.85546875" style="1414" bestFit="1" customWidth="1"/>
    <col min="9496" max="9496" width="12" style="1414" bestFit="1" customWidth="1"/>
    <col min="9497" max="9497" width="12.85546875" style="1414" customWidth="1"/>
    <col min="9498" max="9498" width="3" style="1414" customWidth="1"/>
    <col min="9499" max="9501" width="0" style="1414" hidden="1" customWidth="1"/>
    <col min="9502" max="9502" width="6.5703125" style="1414" customWidth="1"/>
    <col min="9503" max="9503" width="10" style="1414" customWidth="1"/>
    <col min="9504" max="9504" width="10.7109375" style="1414" customWidth="1"/>
    <col min="9505" max="9505" width="9.28515625" style="1414" customWidth="1"/>
    <col min="9506" max="9506" width="10.42578125" style="1414" customWidth="1"/>
    <col min="9507" max="9507" width="6.28515625" style="1414" customWidth="1"/>
    <col min="9508" max="9508" width="4.5703125" style="1414" customWidth="1"/>
    <col min="9509" max="9509" width="61.85546875" style="1414" customWidth="1"/>
    <col min="9510" max="9511" width="11.42578125" style="1414"/>
    <col min="9512" max="9512" width="38.5703125" style="1414" customWidth="1"/>
    <col min="9513" max="9513" width="24.28515625" style="1414" customWidth="1"/>
    <col min="9514" max="9728" width="11.42578125" style="1414"/>
    <col min="9729" max="9729" width="4.7109375" style="1414" customWidth="1"/>
    <col min="9730" max="9730" width="7" style="1414" customWidth="1"/>
    <col min="9731" max="9731" width="34.28515625" style="1414" customWidth="1"/>
    <col min="9732" max="9741" width="0" style="1414" hidden="1" customWidth="1"/>
    <col min="9742" max="9742" width="11.7109375" style="1414" bestFit="1" customWidth="1"/>
    <col min="9743" max="9743" width="10.85546875" style="1414" bestFit="1" customWidth="1"/>
    <col min="9744" max="9749" width="0" style="1414" hidden="1" customWidth="1"/>
    <col min="9750" max="9750" width="12.5703125" style="1414" customWidth="1"/>
    <col min="9751" max="9751" width="12.85546875" style="1414" bestFit="1" customWidth="1"/>
    <col min="9752" max="9752" width="12" style="1414" bestFit="1" customWidth="1"/>
    <col min="9753" max="9753" width="12.85546875" style="1414" customWidth="1"/>
    <col min="9754" max="9754" width="3" style="1414" customWidth="1"/>
    <col min="9755" max="9757" width="0" style="1414" hidden="1" customWidth="1"/>
    <col min="9758" max="9758" width="6.5703125" style="1414" customWidth="1"/>
    <col min="9759" max="9759" width="10" style="1414" customWidth="1"/>
    <col min="9760" max="9760" width="10.7109375" style="1414" customWidth="1"/>
    <col min="9761" max="9761" width="9.28515625" style="1414" customWidth="1"/>
    <col min="9762" max="9762" width="10.42578125" style="1414" customWidth="1"/>
    <col min="9763" max="9763" width="6.28515625" style="1414" customWidth="1"/>
    <col min="9764" max="9764" width="4.5703125" style="1414" customWidth="1"/>
    <col min="9765" max="9765" width="61.85546875" style="1414" customWidth="1"/>
    <col min="9766" max="9767" width="11.42578125" style="1414"/>
    <col min="9768" max="9768" width="38.5703125" style="1414" customWidth="1"/>
    <col min="9769" max="9769" width="24.28515625" style="1414" customWidth="1"/>
    <col min="9770" max="9984" width="11.42578125" style="1414"/>
    <col min="9985" max="9985" width="4.7109375" style="1414" customWidth="1"/>
    <col min="9986" max="9986" width="7" style="1414" customWidth="1"/>
    <col min="9987" max="9987" width="34.28515625" style="1414" customWidth="1"/>
    <col min="9988" max="9997" width="0" style="1414" hidden="1" customWidth="1"/>
    <col min="9998" max="9998" width="11.7109375" style="1414" bestFit="1" customWidth="1"/>
    <col min="9999" max="9999" width="10.85546875" style="1414" bestFit="1" customWidth="1"/>
    <col min="10000" max="10005" width="0" style="1414" hidden="1" customWidth="1"/>
    <col min="10006" max="10006" width="12.5703125" style="1414" customWidth="1"/>
    <col min="10007" max="10007" width="12.85546875" style="1414" bestFit="1" customWidth="1"/>
    <col min="10008" max="10008" width="12" style="1414" bestFit="1" customWidth="1"/>
    <col min="10009" max="10009" width="12.85546875" style="1414" customWidth="1"/>
    <col min="10010" max="10010" width="3" style="1414" customWidth="1"/>
    <col min="10011" max="10013" width="0" style="1414" hidden="1" customWidth="1"/>
    <col min="10014" max="10014" width="6.5703125" style="1414" customWidth="1"/>
    <col min="10015" max="10015" width="10" style="1414" customWidth="1"/>
    <col min="10016" max="10016" width="10.7109375" style="1414" customWidth="1"/>
    <col min="10017" max="10017" width="9.28515625" style="1414" customWidth="1"/>
    <col min="10018" max="10018" width="10.42578125" style="1414" customWidth="1"/>
    <col min="10019" max="10019" width="6.28515625" style="1414" customWidth="1"/>
    <col min="10020" max="10020" width="4.5703125" style="1414" customWidth="1"/>
    <col min="10021" max="10021" width="61.85546875" style="1414" customWidth="1"/>
    <col min="10022" max="10023" width="11.42578125" style="1414"/>
    <col min="10024" max="10024" width="38.5703125" style="1414" customWidth="1"/>
    <col min="10025" max="10025" width="24.28515625" style="1414" customWidth="1"/>
    <col min="10026" max="10240" width="11.42578125" style="1414"/>
    <col min="10241" max="10241" width="4.7109375" style="1414" customWidth="1"/>
    <col min="10242" max="10242" width="7" style="1414" customWidth="1"/>
    <col min="10243" max="10243" width="34.28515625" style="1414" customWidth="1"/>
    <col min="10244" max="10253" width="0" style="1414" hidden="1" customWidth="1"/>
    <col min="10254" max="10254" width="11.7109375" style="1414" bestFit="1" customWidth="1"/>
    <col min="10255" max="10255" width="10.85546875" style="1414" bestFit="1" customWidth="1"/>
    <col min="10256" max="10261" width="0" style="1414" hidden="1" customWidth="1"/>
    <col min="10262" max="10262" width="12.5703125" style="1414" customWidth="1"/>
    <col min="10263" max="10263" width="12.85546875" style="1414" bestFit="1" customWidth="1"/>
    <col min="10264" max="10264" width="12" style="1414" bestFit="1" customWidth="1"/>
    <col min="10265" max="10265" width="12.85546875" style="1414" customWidth="1"/>
    <col min="10266" max="10266" width="3" style="1414" customWidth="1"/>
    <col min="10267" max="10269" width="0" style="1414" hidden="1" customWidth="1"/>
    <col min="10270" max="10270" width="6.5703125" style="1414" customWidth="1"/>
    <col min="10271" max="10271" width="10" style="1414" customWidth="1"/>
    <col min="10272" max="10272" width="10.7109375" style="1414" customWidth="1"/>
    <col min="10273" max="10273" width="9.28515625" style="1414" customWidth="1"/>
    <col min="10274" max="10274" width="10.42578125" style="1414" customWidth="1"/>
    <col min="10275" max="10275" width="6.28515625" style="1414" customWidth="1"/>
    <col min="10276" max="10276" width="4.5703125" style="1414" customWidth="1"/>
    <col min="10277" max="10277" width="61.85546875" style="1414" customWidth="1"/>
    <col min="10278" max="10279" width="11.42578125" style="1414"/>
    <col min="10280" max="10280" width="38.5703125" style="1414" customWidth="1"/>
    <col min="10281" max="10281" width="24.28515625" style="1414" customWidth="1"/>
    <col min="10282" max="10496" width="11.42578125" style="1414"/>
    <col min="10497" max="10497" width="4.7109375" style="1414" customWidth="1"/>
    <col min="10498" max="10498" width="7" style="1414" customWidth="1"/>
    <col min="10499" max="10499" width="34.28515625" style="1414" customWidth="1"/>
    <col min="10500" max="10509" width="0" style="1414" hidden="1" customWidth="1"/>
    <col min="10510" max="10510" width="11.7109375" style="1414" bestFit="1" customWidth="1"/>
    <col min="10511" max="10511" width="10.85546875" style="1414" bestFit="1" customWidth="1"/>
    <col min="10512" max="10517" width="0" style="1414" hidden="1" customWidth="1"/>
    <col min="10518" max="10518" width="12.5703125" style="1414" customWidth="1"/>
    <col min="10519" max="10519" width="12.85546875" style="1414" bestFit="1" customWidth="1"/>
    <col min="10520" max="10520" width="12" style="1414" bestFit="1" customWidth="1"/>
    <col min="10521" max="10521" width="12.85546875" style="1414" customWidth="1"/>
    <col min="10522" max="10522" width="3" style="1414" customWidth="1"/>
    <col min="10523" max="10525" width="0" style="1414" hidden="1" customWidth="1"/>
    <col min="10526" max="10526" width="6.5703125" style="1414" customWidth="1"/>
    <col min="10527" max="10527" width="10" style="1414" customWidth="1"/>
    <col min="10528" max="10528" width="10.7109375" style="1414" customWidth="1"/>
    <col min="10529" max="10529" width="9.28515625" style="1414" customWidth="1"/>
    <col min="10530" max="10530" width="10.42578125" style="1414" customWidth="1"/>
    <col min="10531" max="10531" width="6.28515625" style="1414" customWidth="1"/>
    <col min="10532" max="10532" width="4.5703125" style="1414" customWidth="1"/>
    <col min="10533" max="10533" width="61.85546875" style="1414" customWidth="1"/>
    <col min="10534" max="10535" width="11.42578125" style="1414"/>
    <col min="10536" max="10536" width="38.5703125" style="1414" customWidth="1"/>
    <col min="10537" max="10537" width="24.28515625" style="1414" customWidth="1"/>
    <col min="10538" max="10752" width="11.42578125" style="1414"/>
    <col min="10753" max="10753" width="4.7109375" style="1414" customWidth="1"/>
    <col min="10754" max="10754" width="7" style="1414" customWidth="1"/>
    <col min="10755" max="10755" width="34.28515625" style="1414" customWidth="1"/>
    <col min="10756" max="10765" width="0" style="1414" hidden="1" customWidth="1"/>
    <col min="10766" max="10766" width="11.7109375" style="1414" bestFit="1" customWidth="1"/>
    <col min="10767" max="10767" width="10.85546875" style="1414" bestFit="1" customWidth="1"/>
    <col min="10768" max="10773" width="0" style="1414" hidden="1" customWidth="1"/>
    <col min="10774" max="10774" width="12.5703125" style="1414" customWidth="1"/>
    <col min="10775" max="10775" width="12.85546875" style="1414" bestFit="1" customWidth="1"/>
    <col min="10776" max="10776" width="12" style="1414" bestFit="1" customWidth="1"/>
    <col min="10777" max="10777" width="12.85546875" style="1414" customWidth="1"/>
    <col min="10778" max="10778" width="3" style="1414" customWidth="1"/>
    <col min="10779" max="10781" width="0" style="1414" hidden="1" customWidth="1"/>
    <col min="10782" max="10782" width="6.5703125" style="1414" customWidth="1"/>
    <col min="10783" max="10783" width="10" style="1414" customWidth="1"/>
    <col min="10784" max="10784" width="10.7109375" style="1414" customWidth="1"/>
    <col min="10785" max="10785" width="9.28515625" style="1414" customWidth="1"/>
    <col min="10786" max="10786" width="10.42578125" style="1414" customWidth="1"/>
    <col min="10787" max="10787" width="6.28515625" style="1414" customWidth="1"/>
    <col min="10788" max="10788" width="4.5703125" style="1414" customWidth="1"/>
    <col min="10789" max="10789" width="61.85546875" style="1414" customWidth="1"/>
    <col min="10790" max="10791" width="11.42578125" style="1414"/>
    <col min="10792" max="10792" width="38.5703125" style="1414" customWidth="1"/>
    <col min="10793" max="10793" width="24.28515625" style="1414" customWidth="1"/>
    <col min="10794" max="11008" width="11.42578125" style="1414"/>
    <col min="11009" max="11009" width="4.7109375" style="1414" customWidth="1"/>
    <col min="11010" max="11010" width="7" style="1414" customWidth="1"/>
    <col min="11011" max="11011" width="34.28515625" style="1414" customWidth="1"/>
    <col min="11012" max="11021" width="0" style="1414" hidden="1" customWidth="1"/>
    <col min="11022" max="11022" width="11.7109375" style="1414" bestFit="1" customWidth="1"/>
    <col min="11023" max="11023" width="10.85546875" style="1414" bestFit="1" customWidth="1"/>
    <col min="11024" max="11029" width="0" style="1414" hidden="1" customWidth="1"/>
    <col min="11030" max="11030" width="12.5703125" style="1414" customWidth="1"/>
    <col min="11031" max="11031" width="12.85546875" style="1414" bestFit="1" customWidth="1"/>
    <col min="11032" max="11032" width="12" style="1414" bestFit="1" customWidth="1"/>
    <col min="11033" max="11033" width="12.85546875" style="1414" customWidth="1"/>
    <col min="11034" max="11034" width="3" style="1414" customWidth="1"/>
    <col min="11035" max="11037" width="0" style="1414" hidden="1" customWidth="1"/>
    <col min="11038" max="11038" width="6.5703125" style="1414" customWidth="1"/>
    <col min="11039" max="11039" width="10" style="1414" customWidth="1"/>
    <col min="11040" max="11040" width="10.7109375" style="1414" customWidth="1"/>
    <col min="11041" max="11041" width="9.28515625" style="1414" customWidth="1"/>
    <col min="11042" max="11042" width="10.42578125" style="1414" customWidth="1"/>
    <col min="11043" max="11043" width="6.28515625" style="1414" customWidth="1"/>
    <col min="11044" max="11044" width="4.5703125" style="1414" customWidth="1"/>
    <col min="11045" max="11045" width="61.85546875" style="1414" customWidth="1"/>
    <col min="11046" max="11047" width="11.42578125" style="1414"/>
    <col min="11048" max="11048" width="38.5703125" style="1414" customWidth="1"/>
    <col min="11049" max="11049" width="24.28515625" style="1414" customWidth="1"/>
    <col min="11050" max="11264" width="11.42578125" style="1414"/>
    <col min="11265" max="11265" width="4.7109375" style="1414" customWidth="1"/>
    <col min="11266" max="11266" width="7" style="1414" customWidth="1"/>
    <col min="11267" max="11267" width="34.28515625" style="1414" customWidth="1"/>
    <col min="11268" max="11277" width="0" style="1414" hidden="1" customWidth="1"/>
    <col min="11278" max="11278" width="11.7109375" style="1414" bestFit="1" customWidth="1"/>
    <col min="11279" max="11279" width="10.85546875" style="1414" bestFit="1" customWidth="1"/>
    <col min="11280" max="11285" width="0" style="1414" hidden="1" customWidth="1"/>
    <col min="11286" max="11286" width="12.5703125" style="1414" customWidth="1"/>
    <col min="11287" max="11287" width="12.85546875" style="1414" bestFit="1" customWidth="1"/>
    <col min="11288" max="11288" width="12" style="1414" bestFit="1" customWidth="1"/>
    <col min="11289" max="11289" width="12.85546875" style="1414" customWidth="1"/>
    <col min="11290" max="11290" width="3" style="1414" customWidth="1"/>
    <col min="11291" max="11293" width="0" style="1414" hidden="1" customWidth="1"/>
    <col min="11294" max="11294" width="6.5703125" style="1414" customWidth="1"/>
    <col min="11295" max="11295" width="10" style="1414" customWidth="1"/>
    <col min="11296" max="11296" width="10.7109375" style="1414" customWidth="1"/>
    <col min="11297" max="11297" width="9.28515625" style="1414" customWidth="1"/>
    <col min="11298" max="11298" width="10.42578125" style="1414" customWidth="1"/>
    <col min="11299" max="11299" width="6.28515625" style="1414" customWidth="1"/>
    <col min="11300" max="11300" width="4.5703125" style="1414" customWidth="1"/>
    <col min="11301" max="11301" width="61.85546875" style="1414" customWidth="1"/>
    <col min="11302" max="11303" width="11.42578125" style="1414"/>
    <col min="11304" max="11304" width="38.5703125" style="1414" customWidth="1"/>
    <col min="11305" max="11305" width="24.28515625" style="1414" customWidth="1"/>
    <col min="11306" max="11520" width="11.42578125" style="1414"/>
    <col min="11521" max="11521" width="4.7109375" style="1414" customWidth="1"/>
    <col min="11522" max="11522" width="7" style="1414" customWidth="1"/>
    <col min="11523" max="11523" width="34.28515625" style="1414" customWidth="1"/>
    <col min="11524" max="11533" width="0" style="1414" hidden="1" customWidth="1"/>
    <col min="11534" max="11534" width="11.7109375" style="1414" bestFit="1" customWidth="1"/>
    <col min="11535" max="11535" width="10.85546875" style="1414" bestFit="1" customWidth="1"/>
    <col min="11536" max="11541" width="0" style="1414" hidden="1" customWidth="1"/>
    <col min="11542" max="11542" width="12.5703125" style="1414" customWidth="1"/>
    <col min="11543" max="11543" width="12.85546875" style="1414" bestFit="1" customWidth="1"/>
    <col min="11544" max="11544" width="12" style="1414" bestFit="1" customWidth="1"/>
    <col min="11545" max="11545" width="12.85546875" style="1414" customWidth="1"/>
    <col min="11546" max="11546" width="3" style="1414" customWidth="1"/>
    <col min="11547" max="11549" width="0" style="1414" hidden="1" customWidth="1"/>
    <col min="11550" max="11550" width="6.5703125" style="1414" customWidth="1"/>
    <col min="11551" max="11551" width="10" style="1414" customWidth="1"/>
    <col min="11552" max="11552" width="10.7109375" style="1414" customWidth="1"/>
    <col min="11553" max="11553" width="9.28515625" style="1414" customWidth="1"/>
    <col min="11554" max="11554" width="10.42578125" style="1414" customWidth="1"/>
    <col min="11555" max="11555" width="6.28515625" style="1414" customWidth="1"/>
    <col min="11556" max="11556" width="4.5703125" style="1414" customWidth="1"/>
    <col min="11557" max="11557" width="61.85546875" style="1414" customWidth="1"/>
    <col min="11558" max="11559" width="11.42578125" style="1414"/>
    <col min="11560" max="11560" width="38.5703125" style="1414" customWidth="1"/>
    <col min="11561" max="11561" width="24.28515625" style="1414" customWidth="1"/>
    <col min="11562" max="11776" width="11.42578125" style="1414"/>
    <col min="11777" max="11777" width="4.7109375" style="1414" customWidth="1"/>
    <col min="11778" max="11778" width="7" style="1414" customWidth="1"/>
    <col min="11779" max="11779" width="34.28515625" style="1414" customWidth="1"/>
    <col min="11780" max="11789" width="0" style="1414" hidden="1" customWidth="1"/>
    <col min="11790" max="11790" width="11.7109375" style="1414" bestFit="1" customWidth="1"/>
    <col min="11791" max="11791" width="10.85546875" style="1414" bestFit="1" customWidth="1"/>
    <col min="11792" max="11797" width="0" style="1414" hidden="1" customWidth="1"/>
    <col min="11798" max="11798" width="12.5703125" style="1414" customWidth="1"/>
    <col min="11799" max="11799" width="12.85546875" style="1414" bestFit="1" customWidth="1"/>
    <col min="11800" max="11800" width="12" style="1414" bestFit="1" customWidth="1"/>
    <col min="11801" max="11801" width="12.85546875" style="1414" customWidth="1"/>
    <col min="11802" max="11802" width="3" style="1414" customWidth="1"/>
    <col min="11803" max="11805" width="0" style="1414" hidden="1" customWidth="1"/>
    <col min="11806" max="11806" width="6.5703125" style="1414" customWidth="1"/>
    <col min="11807" max="11807" width="10" style="1414" customWidth="1"/>
    <col min="11808" max="11808" width="10.7109375" style="1414" customWidth="1"/>
    <col min="11809" max="11809" width="9.28515625" style="1414" customWidth="1"/>
    <col min="11810" max="11810" width="10.42578125" style="1414" customWidth="1"/>
    <col min="11811" max="11811" width="6.28515625" style="1414" customWidth="1"/>
    <col min="11812" max="11812" width="4.5703125" style="1414" customWidth="1"/>
    <col min="11813" max="11813" width="61.85546875" style="1414" customWidth="1"/>
    <col min="11814" max="11815" width="11.42578125" style="1414"/>
    <col min="11816" max="11816" width="38.5703125" style="1414" customWidth="1"/>
    <col min="11817" max="11817" width="24.28515625" style="1414" customWidth="1"/>
    <col min="11818" max="12032" width="11.42578125" style="1414"/>
    <col min="12033" max="12033" width="4.7109375" style="1414" customWidth="1"/>
    <col min="12034" max="12034" width="7" style="1414" customWidth="1"/>
    <col min="12035" max="12035" width="34.28515625" style="1414" customWidth="1"/>
    <col min="12036" max="12045" width="0" style="1414" hidden="1" customWidth="1"/>
    <col min="12046" max="12046" width="11.7109375" style="1414" bestFit="1" customWidth="1"/>
    <col min="12047" max="12047" width="10.85546875" style="1414" bestFit="1" customWidth="1"/>
    <col min="12048" max="12053" width="0" style="1414" hidden="1" customWidth="1"/>
    <col min="12054" max="12054" width="12.5703125" style="1414" customWidth="1"/>
    <col min="12055" max="12055" width="12.85546875" style="1414" bestFit="1" customWidth="1"/>
    <col min="12056" max="12056" width="12" style="1414" bestFit="1" customWidth="1"/>
    <col min="12057" max="12057" width="12.85546875" style="1414" customWidth="1"/>
    <col min="12058" max="12058" width="3" style="1414" customWidth="1"/>
    <col min="12059" max="12061" width="0" style="1414" hidden="1" customWidth="1"/>
    <col min="12062" max="12062" width="6.5703125" style="1414" customWidth="1"/>
    <col min="12063" max="12063" width="10" style="1414" customWidth="1"/>
    <col min="12064" max="12064" width="10.7109375" style="1414" customWidth="1"/>
    <col min="12065" max="12065" width="9.28515625" style="1414" customWidth="1"/>
    <col min="12066" max="12066" width="10.42578125" style="1414" customWidth="1"/>
    <col min="12067" max="12067" width="6.28515625" style="1414" customWidth="1"/>
    <col min="12068" max="12068" width="4.5703125" style="1414" customWidth="1"/>
    <col min="12069" max="12069" width="61.85546875" style="1414" customWidth="1"/>
    <col min="12070" max="12071" width="11.42578125" style="1414"/>
    <col min="12072" max="12072" width="38.5703125" style="1414" customWidth="1"/>
    <col min="12073" max="12073" width="24.28515625" style="1414" customWidth="1"/>
    <col min="12074" max="12288" width="11.42578125" style="1414"/>
    <col min="12289" max="12289" width="4.7109375" style="1414" customWidth="1"/>
    <col min="12290" max="12290" width="7" style="1414" customWidth="1"/>
    <col min="12291" max="12291" width="34.28515625" style="1414" customWidth="1"/>
    <col min="12292" max="12301" width="0" style="1414" hidden="1" customWidth="1"/>
    <col min="12302" max="12302" width="11.7109375" style="1414" bestFit="1" customWidth="1"/>
    <col min="12303" max="12303" width="10.85546875" style="1414" bestFit="1" customWidth="1"/>
    <col min="12304" max="12309" width="0" style="1414" hidden="1" customWidth="1"/>
    <col min="12310" max="12310" width="12.5703125" style="1414" customWidth="1"/>
    <col min="12311" max="12311" width="12.85546875" style="1414" bestFit="1" customWidth="1"/>
    <col min="12312" max="12312" width="12" style="1414" bestFit="1" customWidth="1"/>
    <col min="12313" max="12313" width="12.85546875" style="1414" customWidth="1"/>
    <col min="12314" max="12314" width="3" style="1414" customWidth="1"/>
    <col min="12315" max="12317" width="0" style="1414" hidden="1" customWidth="1"/>
    <col min="12318" max="12318" width="6.5703125" style="1414" customWidth="1"/>
    <col min="12319" max="12319" width="10" style="1414" customWidth="1"/>
    <col min="12320" max="12320" width="10.7109375" style="1414" customWidth="1"/>
    <col min="12321" max="12321" width="9.28515625" style="1414" customWidth="1"/>
    <col min="12322" max="12322" width="10.42578125" style="1414" customWidth="1"/>
    <col min="12323" max="12323" width="6.28515625" style="1414" customWidth="1"/>
    <col min="12324" max="12324" width="4.5703125" style="1414" customWidth="1"/>
    <col min="12325" max="12325" width="61.85546875" style="1414" customWidth="1"/>
    <col min="12326" max="12327" width="11.42578125" style="1414"/>
    <col min="12328" max="12328" width="38.5703125" style="1414" customWidth="1"/>
    <col min="12329" max="12329" width="24.28515625" style="1414" customWidth="1"/>
    <col min="12330" max="12544" width="11.42578125" style="1414"/>
    <col min="12545" max="12545" width="4.7109375" style="1414" customWidth="1"/>
    <col min="12546" max="12546" width="7" style="1414" customWidth="1"/>
    <col min="12547" max="12547" width="34.28515625" style="1414" customWidth="1"/>
    <col min="12548" max="12557" width="0" style="1414" hidden="1" customWidth="1"/>
    <col min="12558" max="12558" width="11.7109375" style="1414" bestFit="1" customWidth="1"/>
    <col min="12559" max="12559" width="10.85546875" style="1414" bestFit="1" customWidth="1"/>
    <col min="12560" max="12565" width="0" style="1414" hidden="1" customWidth="1"/>
    <col min="12566" max="12566" width="12.5703125" style="1414" customWidth="1"/>
    <col min="12567" max="12567" width="12.85546875" style="1414" bestFit="1" customWidth="1"/>
    <col min="12568" max="12568" width="12" style="1414" bestFit="1" customWidth="1"/>
    <col min="12569" max="12569" width="12.85546875" style="1414" customWidth="1"/>
    <col min="12570" max="12570" width="3" style="1414" customWidth="1"/>
    <col min="12571" max="12573" width="0" style="1414" hidden="1" customWidth="1"/>
    <col min="12574" max="12574" width="6.5703125" style="1414" customWidth="1"/>
    <col min="12575" max="12575" width="10" style="1414" customWidth="1"/>
    <col min="12576" max="12576" width="10.7109375" style="1414" customWidth="1"/>
    <col min="12577" max="12577" width="9.28515625" style="1414" customWidth="1"/>
    <col min="12578" max="12578" width="10.42578125" style="1414" customWidth="1"/>
    <col min="12579" max="12579" width="6.28515625" style="1414" customWidth="1"/>
    <col min="12580" max="12580" width="4.5703125" style="1414" customWidth="1"/>
    <col min="12581" max="12581" width="61.85546875" style="1414" customWidth="1"/>
    <col min="12582" max="12583" width="11.42578125" style="1414"/>
    <col min="12584" max="12584" width="38.5703125" style="1414" customWidth="1"/>
    <col min="12585" max="12585" width="24.28515625" style="1414" customWidth="1"/>
    <col min="12586" max="12800" width="11.42578125" style="1414"/>
    <col min="12801" max="12801" width="4.7109375" style="1414" customWidth="1"/>
    <col min="12802" max="12802" width="7" style="1414" customWidth="1"/>
    <col min="12803" max="12803" width="34.28515625" style="1414" customWidth="1"/>
    <col min="12804" max="12813" width="0" style="1414" hidden="1" customWidth="1"/>
    <col min="12814" max="12814" width="11.7109375" style="1414" bestFit="1" customWidth="1"/>
    <col min="12815" max="12815" width="10.85546875" style="1414" bestFit="1" customWidth="1"/>
    <col min="12816" max="12821" width="0" style="1414" hidden="1" customWidth="1"/>
    <col min="12822" max="12822" width="12.5703125" style="1414" customWidth="1"/>
    <col min="12823" max="12823" width="12.85546875" style="1414" bestFit="1" customWidth="1"/>
    <col min="12824" max="12824" width="12" style="1414" bestFit="1" customWidth="1"/>
    <col min="12825" max="12825" width="12.85546875" style="1414" customWidth="1"/>
    <col min="12826" max="12826" width="3" style="1414" customWidth="1"/>
    <col min="12827" max="12829" width="0" style="1414" hidden="1" customWidth="1"/>
    <col min="12830" max="12830" width="6.5703125" style="1414" customWidth="1"/>
    <col min="12831" max="12831" width="10" style="1414" customWidth="1"/>
    <col min="12832" max="12832" width="10.7109375" style="1414" customWidth="1"/>
    <col min="12833" max="12833" width="9.28515625" style="1414" customWidth="1"/>
    <col min="12834" max="12834" width="10.42578125" style="1414" customWidth="1"/>
    <col min="12835" max="12835" width="6.28515625" style="1414" customWidth="1"/>
    <col min="12836" max="12836" width="4.5703125" style="1414" customWidth="1"/>
    <col min="12837" max="12837" width="61.85546875" style="1414" customWidth="1"/>
    <col min="12838" max="12839" width="11.42578125" style="1414"/>
    <col min="12840" max="12840" width="38.5703125" style="1414" customWidth="1"/>
    <col min="12841" max="12841" width="24.28515625" style="1414" customWidth="1"/>
    <col min="12842" max="13056" width="11.42578125" style="1414"/>
    <col min="13057" max="13057" width="4.7109375" style="1414" customWidth="1"/>
    <col min="13058" max="13058" width="7" style="1414" customWidth="1"/>
    <col min="13059" max="13059" width="34.28515625" style="1414" customWidth="1"/>
    <col min="13060" max="13069" width="0" style="1414" hidden="1" customWidth="1"/>
    <col min="13070" max="13070" width="11.7109375" style="1414" bestFit="1" customWidth="1"/>
    <col min="13071" max="13071" width="10.85546875" style="1414" bestFit="1" customWidth="1"/>
    <col min="13072" max="13077" width="0" style="1414" hidden="1" customWidth="1"/>
    <col min="13078" max="13078" width="12.5703125" style="1414" customWidth="1"/>
    <col min="13079" max="13079" width="12.85546875" style="1414" bestFit="1" customWidth="1"/>
    <col min="13080" max="13080" width="12" style="1414" bestFit="1" customWidth="1"/>
    <col min="13081" max="13081" width="12.85546875" style="1414" customWidth="1"/>
    <col min="13082" max="13082" width="3" style="1414" customWidth="1"/>
    <col min="13083" max="13085" width="0" style="1414" hidden="1" customWidth="1"/>
    <col min="13086" max="13086" width="6.5703125" style="1414" customWidth="1"/>
    <col min="13087" max="13087" width="10" style="1414" customWidth="1"/>
    <col min="13088" max="13088" width="10.7109375" style="1414" customWidth="1"/>
    <col min="13089" max="13089" width="9.28515625" style="1414" customWidth="1"/>
    <col min="13090" max="13090" width="10.42578125" style="1414" customWidth="1"/>
    <col min="13091" max="13091" width="6.28515625" style="1414" customWidth="1"/>
    <col min="13092" max="13092" width="4.5703125" style="1414" customWidth="1"/>
    <col min="13093" max="13093" width="61.85546875" style="1414" customWidth="1"/>
    <col min="13094" max="13095" width="11.42578125" style="1414"/>
    <col min="13096" max="13096" width="38.5703125" style="1414" customWidth="1"/>
    <col min="13097" max="13097" width="24.28515625" style="1414" customWidth="1"/>
    <col min="13098" max="13312" width="11.42578125" style="1414"/>
    <col min="13313" max="13313" width="4.7109375" style="1414" customWidth="1"/>
    <col min="13314" max="13314" width="7" style="1414" customWidth="1"/>
    <col min="13315" max="13315" width="34.28515625" style="1414" customWidth="1"/>
    <col min="13316" max="13325" width="0" style="1414" hidden="1" customWidth="1"/>
    <col min="13326" max="13326" width="11.7109375" style="1414" bestFit="1" customWidth="1"/>
    <col min="13327" max="13327" width="10.85546875" style="1414" bestFit="1" customWidth="1"/>
    <col min="13328" max="13333" width="0" style="1414" hidden="1" customWidth="1"/>
    <col min="13334" max="13334" width="12.5703125" style="1414" customWidth="1"/>
    <col min="13335" max="13335" width="12.85546875" style="1414" bestFit="1" customWidth="1"/>
    <col min="13336" max="13336" width="12" style="1414" bestFit="1" customWidth="1"/>
    <col min="13337" max="13337" width="12.85546875" style="1414" customWidth="1"/>
    <col min="13338" max="13338" width="3" style="1414" customWidth="1"/>
    <col min="13339" max="13341" width="0" style="1414" hidden="1" customWidth="1"/>
    <col min="13342" max="13342" width="6.5703125" style="1414" customWidth="1"/>
    <col min="13343" max="13343" width="10" style="1414" customWidth="1"/>
    <col min="13344" max="13344" width="10.7109375" style="1414" customWidth="1"/>
    <col min="13345" max="13345" width="9.28515625" style="1414" customWidth="1"/>
    <col min="13346" max="13346" width="10.42578125" style="1414" customWidth="1"/>
    <col min="13347" max="13347" width="6.28515625" style="1414" customWidth="1"/>
    <col min="13348" max="13348" width="4.5703125" style="1414" customWidth="1"/>
    <col min="13349" max="13349" width="61.85546875" style="1414" customWidth="1"/>
    <col min="13350" max="13351" width="11.42578125" style="1414"/>
    <col min="13352" max="13352" width="38.5703125" style="1414" customWidth="1"/>
    <col min="13353" max="13353" width="24.28515625" style="1414" customWidth="1"/>
    <col min="13354" max="13568" width="11.42578125" style="1414"/>
    <col min="13569" max="13569" width="4.7109375" style="1414" customWidth="1"/>
    <col min="13570" max="13570" width="7" style="1414" customWidth="1"/>
    <col min="13571" max="13571" width="34.28515625" style="1414" customWidth="1"/>
    <col min="13572" max="13581" width="0" style="1414" hidden="1" customWidth="1"/>
    <col min="13582" max="13582" width="11.7109375" style="1414" bestFit="1" customWidth="1"/>
    <col min="13583" max="13583" width="10.85546875" style="1414" bestFit="1" customWidth="1"/>
    <col min="13584" max="13589" width="0" style="1414" hidden="1" customWidth="1"/>
    <col min="13590" max="13590" width="12.5703125" style="1414" customWidth="1"/>
    <col min="13591" max="13591" width="12.85546875" style="1414" bestFit="1" customWidth="1"/>
    <col min="13592" max="13592" width="12" style="1414" bestFit="1" customWidth="1"/>
    <col min="13593" max="13593" width="12.85546875" style="1414" customWidth="1"/>
    <col min="13594" max="13594" width="3" style="1414" customWidth="1"/>
    <col min="13595" max="13597" width="0" style="1414" hidden="1" customWidth="1"/>
    <col min="13598" max="13598" width="6.5703125" style="1414" customWidth="1"/>
    <col min="13599" max="13599" width="10" style="1414" customWidth="1"/>
    <col min="13600" max="13600" width="10.7109375" style="1414" customWidth="1"/>
    <col min="13601" max="13601" width="9.28515625" style="1414" customWidth="1"/>
    <col min="13602" max="13602" width="10.42578125" style="1414" customWidth="1"/>
    <col min="13603" max="13603" width="6.28515625" style="1414" customWidth="1"/>
    <col min="13604" max="13604" width="4.5703125" style="1414" customWidth="1"/>
    <col min="13605" max="13605" width="61.85546875" style="1414" customWidth="1"/>
    <col min="13606" max="13607" width="11.42578125" style="1414"/>
    <col min="13608" max="13608" width="38.5703125" style="1414" customWidth="1"/>
    <col min="13609" max="13609" width="24.28515625" style="1414" customWidth="1"/>
    <col min="13610" max="13824" width="11.42578125" style="1414"/>
    <col min="13825" max="13825" width="4.7109375" style="1414" customWidth="1"/>
    <col min="13826" max="13826" width="7" style="1414" customWidth="1"/>
    <col min="13827" max="13827" width="34.28515625" style="1414" customWidth="1"/>
    <col min="13828" max="13837" width="0" style="1414" hidden="1" customWidth="1"/>
    <col min="13838" max="13838" width="11.7109375" style="1414" bestFit="1" customWidth="1"/>
    <col min="13839" max="13839" width="10.85546875" style="1414" bestFit="1" customWidth="1"/>
    <col min="13840" max="13845" width="0" style="1414" hidden="1" customWidth="1"/>
    <col min="13846" max="13846" width="12.5703125" style="1414" customWidth="1"/>
    <col min="13847" max="13847" width="12.85546875" style="1414" bestFit="1" customWidth="1"/>
    <col min="13848" max="13848" width="12" style="1414" bestFit="1" customWidth="1"/>
    <col min="13849" max="13849" width="12.85546875" style="1414" customWidth="1"/>
    <col min="13850" max="13850" width="3" style="1414" customWidth="1"/>
    <col min="13851" max="13853" width="0" style="1414" hidden="1" customWidth="1"/>
    <col min="13854" max="13854" width="6.5703125" style="1414" customWidth="1"/>
    <col min="13855" max="13855" width="10" style="1414" customWidth="1"/>
    <col min="13856" max="13856" width="10.7109375" style="1414" customWidth="1"/>
    <col min="13857" max="13857" width="9.28515625" style="1414" customWidth="1"/>
    <col min="13858" max="13858" width="10.42578125" style="1414" customWidth="1"/>
    <col min="13859" max="13859" width="6.28515625" style="1414" customWidth="1"/>
    <col min="13860" max="13860" width="4.5703125" style="1414" customWidth="1"/>
    <col min="13861" max="13861" width="61.85546875" style="1414" customWidth="1"/>
    <col min="13862" max="13863" width="11.42578125" style="1414"/>
    <col min="13864" max="13864" width="38.5703125" style="1414" customWidth="1"/>
    <col min="13865" max="13865" width="24.28515625" style="1414" customWidth="1"/>
    <col min="13866" max="14080" width="11.42578125" style="1414"/>
    <col min="14081" max="14081" width="4.7109375" style="1414" customWidth="1"/>
    <col min="14082" max="14082" width="7" style="1414" customWidth="1"/>
    <col min="14083" max="14083" width="34.28515625" style="1414" customWidth="1"/>
    <col min="14084" max="14093" width="0" style="1414" hidden="1" customWidth="1"/>
    <col min="14094" max="14094" width="11.7109375" style="1414" bestFit="1" customWidth="1"/>
    <col min="14095" max="14095" width="10.85546875" style="1414" bestFit="1" customWidth="1"/>
    <col min="14096" max="14101" width="0" style="1414" hidden="1" customWidth="1"/>
    <col min="14102" max="14102" width="12.5703125" style="1414" customWidth="1"/>
    <col min="14103" max="14103" width="12.85546875" style="1414" bestFit="1" customWidth="1"/>
    <col min="14104" max="14104" width="12" style="1414" bestFit="1" customWidth="1"/>
    <col min="14105" max="14105" width="12.85546875" style="1414" customWidth="1"/>
    <col min="14106" max="14106" width="3" style="1414" customWidth="1"/>
    <col min="14107" max="14109" width="0" style="1414" hidden="1" customWidth="1"/>
    <col min="14110" max="14110" width="6.5703125" style="1414" customWidth="1"/>
    <col min="14111" max="14111" width="10" style="1414" customWidth="1"/>
    <col min="14112" max="14112" width="10.7109375" style="1414" customWidth="1"/>
    <col min="14113" max="14113" width="9.28515625" style="1414" customWidth="1"/>
    <col min="14114" max="14114" width="10.42578125" style="1414" customWidth="1"/>
    <col min="14115" max="14115" width="6.28515625" style="1414" customWidth="1"/>
    <col min="14116" max="14116" width="4.5703125" style="1414" customWidth="1"/>
    <col min="14117" max="14117" width="61.85546875" style="1414" customWidth="1"/>
    <col min="14118" max="14119" width="11.42578125" style="1414"/>
    <col min="14120" max="14120" width="38.5703125" style="1414" customWidth="1"/>
    <col min="14121" max="14121" width="24.28515625" style="1414" customWidth="1"/>
    <col min="14122" max="14336" width="11.42578125" style="1414"/>
    <col min="14337" max="14337" width="4.7109375" style="1414" customWidth="1"/>
    <col min="14338" max="14338" width="7" style="1414" customWidth="1"/>
    <col min="14339" max="14339" width="34.28515625" style="1414" customWidth="1"/>
    <col min="14340" max="14349" width="0" style="1414" hidden="1" customWidth="1"/>
    <col min="14350" max="14350" width="11.7109375" style="1414" bestFit="1" customWidth="1"/>
    <col min="14351" max="14351" width="10.85546875" style="1414" bestFit="1" customWidth="1"/>
    <col min="14352" max="14357" width="0" style="1414" hidden="1" customWidth="1"/>
    <col min="14358" max="14358" width="12.5703125" style="1414" customWidth="1"/>
    <col min="14359" max="14359" width="12.85546875" style="1414" bestFit="1" customWidth="1"/>
    <col min="14360" max="14360" width="12" style="1414" bestFit="1" customWidth="1"/>
    <col min="14361" max="14361" width="12.85546875" style="1414" customWidth="1"/>
    <col min="14362" max="14362" width="3" style="1414" customWidth="1"/>
    <col min="14363" max="14365" width="0" style="1414" hidden="1" customWidth="1"/>
    <col min="14366" max="14366" width="6.5703125" style="1414" customWidth="1"/>
    <col min="14367" max="14367" width="10" style="1414" customWidth="1"/>
    <col min="14368" max="14368" width="10.7109375" style="1414" customWidth="1"/>
    <col min="14369" max="14369" width="9.28515625" style="1414" customWidth="1"/>
    <col min="14370" max="14370" width="10.42578125" style="1414" customWidth="1"/>
    <col min="14371" max="14371" width="6.28515625" style="1414" customWidth="1"/>
    <col min="14372" max="14372" width="4.5703125" style="1414" customWidth="1"/>
    <col min="14373" max="14373" width="61.85546875" style="1414" customWidth="1"/>
    <col min="14374" max="14375" width="11.42578125" style="1414"/>
    <col min="14376" max="14376" width="38.5703125" style="1414" customWidth="1"/>
    <col min="14377" max="14377" width="24.28515625" style="1414" customWidth="1"/>
    <col min="14378" max="14592" width="11.42578125" style="1414"/>
    <col min="14593" max="14593" width="4.7109375" style="1414" customWidth="1"/>
    <col min="14594" max="14594" width="7" style="1414" customWidth="1"/>
    <col min="14595" max="14595" width="34.28515625" style="1414" customWidth="1"/>
    <col min="14596" max="14605" width="0" style="1414" hidden="1" customWidth="1"/>
    <col min="14606" max="14606" width="11.7109375" style="1414" bestFit="1" customWidth="1"/>
    <col min="14607" max="14607" width="10.85546875" style="1414" bestFit="1" customWidth="1"/>
    <col min="14608" max="14613" width="0" style="1414" hidden="1" customWidth="1"/>
    <col min="14614" max="14614" width="12.5703125" style="1414" customWidth="1"/>
    <col min="14615" max="14615" width="12.85546875" style="1414" bestFit="1" customWidth="1"/>
    <col min="14616" max="14616" width="12" style="1414" bestFit="1" customWidth="1"/>
    <col min="14617" max="14617" width="12.85546875" style="1414" customWidth="1"/>
    <col min="14618" max="14618" width="3" style="1414" customWidth="1"/>
    <col min="14619" max="14621" width="0" style="1414" hidden="1" customWidth="1"/>
    <col min="14622" max="14622" width="6.5703125" style="1414" customWidth="1"/>
    <col min="14623" max="14623" width="10" style="1414" customWidth="1"/>
    <col min="14624" max="14624" width="10.7109375" style="1414" customWidth="1"/>
    <col min="14625" max="14625" width="9.28515625" style="1414" customWidth="1"/>
    <col min="14626" max="14626" width="10.42578125" style="1414" customWidth="1"/>
    <col min="14627" max="14627" width="6.28515625" style="1414" customWidth="1"/>
    <col min="14628" max="14628" width="4.5703125" style="1414" customWidth="1"/>
    <col min="14629" max="14629" width="61.85546875" style="1414" customWidth="1"/>
    <col min="14630" max="14631" width="11.42578125" style="1414"/>
    <col min="14632" max="14632" width="38.5703125" style="1414" customWidth="1"/>
    <col min="14633" max="14633" width="24.28515625" style="1414" customWidth="1"/>
    <col min="14634" max="14848" width="11.42578125" style="1414"/>
    <col min="14849" max="14849" width="4.7109375" style="1414" customWidth="1"/>
    <col min="14850" max="14850" width="7" style="1414" customWidth="1"/>
    <col min="14851" max="14851" width="34.28515625" style="1414" customWidth="1"/>
    <col min="14852" max="14861" width="0" style="1414" hidden="1" customWidth="1"/>
    <col min="14862" max="14862" width="11.7109375" style="1414" bestFit="1" customWidth="1"/>
    <col min="14863" max="14863" width="10.85546875" style="1414" bestFit="1" customWidth="1"/>
    <col min="14864" max="14869" width="0" style="1414" hidden="1" customWidth="1"/>
    <col min="14870" max="14870" width="12.5703125" style="1414" customWidth="1"/>
    <col min="14871" max="14871" width="12.85546875" style="1414" bestFit="1" customWidth="1"/>
    <col min="14872" max="14872" width="12" style="1414" bestFit="1" customWidth="1"/>
    <col min="14873" max="14873" width="12.85546875" style="1414" customWidth="1"/>
    <col min="14874" max="14874" width="3" style="1414" customWidth="1"/>
    <col min="14875" max="14877" width="0" style="1414" hidden="1" customWidth="1"/>
    <col min="14878" max="14878" width="6.5703125" style="1414" customWidth="1"/>
    <col min="14879" max="14879" width="10" style="1414" customWidth="1"/>
    <col min="14880" max="14880" width="10.7109375" style="1414" customWidth="1"/>
    <col min="14881" max="14881" width="9.28515625" style="1414" customWidth="1"/>
    <col min="14882" max="14882" width="10.42578125" style="1414" customWidth="1"/>
    <col min="14883" max="14883" width="6.28515625" style="1414" customWidth="1"/>
    <col min="14884" max="14884" width="4.5703125" style="1414" customWidth="1"/>
    <col min="14885" max="14885" width="61.85546875" style="1414" customWidth="1"/>
    <col min="14886" max="14887" width="11.42578125" style="1414"/>
    <col min="14888" max="14888" width="38.5703125" style="1414" customWidth="1"/>
    <col min="14889" max="14889" width="24.28515625" style="1414" customWidth="1"/>
    <col min="14890" max="15104" width="11.42578125" style="1414"/>
    <col min="15105" max="15105" width="4.7109375" style="1414" customWidth="1"/>
    <col min="15106" max="15106" width="7" style="1414" customWidth="1"/>
    <col min="15107" max="15107" width="34.28515625" style="1414" customWidth="1"/>
    <col min="15108" max="15117" width="0" style="1414" hidden="1" customWidth="1"/>
    <col min="15118" max="15118" width="11.7109375" style="1414" bestFit="1" customWidth="1"/>
    <col min="15119" max="15119" width="10.85546875" style="1414" bestFit="1" customWidth="1"/>
    <col min="15120" max="15125" width="0" style="1414" hidden="1" customWidth="1"/>
    <col min="15126" max="15126" width="12.5703125" style="1414" customWidth="1"/>
    <col min="15127" max="15127" width="12.85546875" style="1414" bestFit="1" customWidth="1"/>
    <col min="15128" max="15128" width="12" style="1414" bestFit="1" customWidth="1"/>
    <col min="15129" max="15129" width="12.85546875" style="1414" customWidth="1"/>
    <col min="15130" max="15130" width="3" style="1414" customWidth="1"/>
    <col min="15131" max="15133" width="0" style="1414" hidden="1" customWidth="1"/>
    <col min="15134" max="15134" width="6.5703125" style="1414" customWidth="1"/>
    <col min="15135" max="15135" width="10" style="1414" customWidth="1"/>
    <col min="15136" max="15136" width="10.7109375" style="1414" customWidth="1"/>
    <col min="15137" max="15137" width="9.28515625" style="1414" customWidth="1"/>
    <col min="15138" max="15138" width="10.42578125" style="1414" customWidth="1"/>
    <col min="15139" max="15139" width="6.28515625" style="1414" customWidth="1"/>
    <col min="15140" max="15140" width="4.5703125" style="1414" customWidth="1"/>
    <col min="15141" max="15141" width="61.85546875" style="1414" customWidth="1"/>
    <col min="15142" max="15143" width="11.42578125" style="1414"/>
    <col min="15144" max="15144" width="38.5703125" style="1414" customWidth="1"/>
    <col min="15145" max="15145" width="24.28515625" style="1414" customWidth="1"/>
    <col min="15146" max="15360" width="11.42578125" style="1414"/>
    <col min="15361" max="15361" width="4.7109375" style="1414" customWidth="1"/>
    <col min="15362" max="15362" width="7" style="1414" customWidth="1"/>
    <col min="15363" max="15363" width="34.28515625" style="1414" customWidth="1"/>
    <col min="15364" max="15373" width="0" style="1414" hidden="1" customWidth="1"/>
    <col min="15374" max="15374" width="11.7109375" style="1414" bestFit="1" customWidth="1"/>
    <col min="15375" max="15375" width="10.85546875" style="1414" bestFit="1" customWidth="1"/>
    <col min="15376" max="15381" width="0" style="1414" hidden="1" customWidth="1"/>
    <col min="15382" max="15382" width="12.5703125" style="1414" customWidth="1"/>
    <col min="15383" max="15383" width="12.85546875" style="1414" bestFit="1" customWidth="1"/>
    <col min="15384" max="15384" width="12" style="1414" bestFit="1" customWidth="1"/>
    <col min="15385" max="15385" width="12.85546875" style="1414" customWidth="1"/>
    <col min="15386" max="15386" width="3" style="1414" customWidth="1"/>
    <col min="15387" max="15389" width="0" style="1414" hidden="1" customWidth="1"/>
    <col min="15390" max="15390" width="6.5703125" style="1414" customWidth="1"/>
    <col min="15391" max="15391" width="10" style="1414" customWidth="1"/>
    <col min="15392" max="15392" width="10.7109375" style="1414" customWidth="1"/>
    <col min="15393" max="15393" width="9.28515625" style="1414" customWidth="1"/>
    <col min="15394" max="15394" width="10.42578125" style="1414" customWidth="1"/>
    <col min="15395" max="15395" width="6.28515625" style="1414" customWidth="1"/>
    <col min="15396" max="15396" width="4.5703125" style="1414" customWidth="1"/>
    <col min="15397" max="15397" width="61.85546875" style="1414" customWidth="1"/>
    <col min="15398" max="15399" width="11.42578125" style="1414"/>
    <col min="15400" max="15400" width="38.5703125" style="1414" customWidth="1"/>
    <col min="15401" max="15401" width="24.28515625" style="1414" customWidth="1"/>
    <col min="15402" max="15616" width="11.42578125" style="1414"/>
    <col min="15617" max="15617" width="4.7109375" style="1414" customWidth="1"/>
    <col min="15618" max="15618" width="7" style="1414" customWidth="1"/>
    <col min="15619" max="15619" width="34.28515625" style="1414" customWidth="1"/>
    <col min="15620" max="15629" width="0" style="1414" hidden="1" customWidth="1"/>
    <col min="15630" max="15630" width="11.7109375" style="1414" bestFit="1" customWidth="1"/>
    <col min="15631" max="15631" width="10.85546875" style="1414" bestFit="1" customWidth="1"/>
    <col min="15632" max="15637" width="0" style="1414" hidden="1" customWidth="1"/>
    <col min="15638" max="15638" width="12.5703125" style="1414" customWidth="1"/>
    <col min="15639" max="15639" width="12.85546875" style="1414" bestFit="1" customWidth="1"/>
    <col min="15640" max="15640" width="12" style="1414" bestFit="1" customWidth="1"/>
    <col min="15641" max="15641" width="12.85546875" style="1414" customWidth="1"/>
    <col min="15642" max="15642" width="3" style="1414" customWidth="1"/>
    <col min="15643" max="15645" width="0" style="1414" hidden="1" customWidth="1"/>
    <col min="15646" max="15646" width="6.5703125" style="1414" customWidth="1"/>
    <col min="15647" max="15647" width="10" style="1414" customWidth="1"/>
    <col min="15648" max="15648" width="10.7109375" style="1414" customWidth="1"/>
    <col min="15649" max="15649" width="9.28515625" style="1414" customWidth="1"/>
    <col min="15650" max="15650" width="10.42578125" style="1414" customWidth="1"/>
    <col min="15651" max="15651" width="6.28515625" style="1414" customWidth="1"/>
    <col min="15652" max="15652" width="4.5703125" style="1414" customWidth="1"/>
    <col min="15653" max="15653" width="61.85546875" style="1414" customWidth="1"/>
    <col min="15654" max="15655" width="11.42578125" style="1414"/>
    <col min="15656" max="15656" width="38.5703125" style="1414" customWidth="1"/>
    <col min="15657" max="15657" width="24.28515625" style="1414" customWidth="1"/>
    <col min="15658" max="15872" width="11.42578125" style="1414"/>
    <col min="15873" max="15873" width="4.7109375" style="1414" customWidth="1"/>
    <col min="15874" max="15874" width="7" style="1414" customWidth="1"/>
    <col min="15875" max="15875" width="34.28515625" style="1414" customWidth="1"/>
    <col min="15876" max="15885" width="0" style="1414" hidden="1" customWidth="1"/>
    <col min="15886" max="15886" width="11.7109375" style="1414" bestFit="1" customWidth="1"/>
    <col min="15887" max="15887" width="10.85546875" style="1414" bestFit="1" customWidth="1"/>
    <col min="15888" max="15893" width="0" style="1414" hidden="1" customWidth="1"/>
    <col min="15894" max="15894" width="12.5703125" style="1414" customWidth="1"/>
    <col min="15895" max="15895" width="12.85546875" style="1414" bestFit="1" customWidth="1"/>
    <col min="15896" max="15896" width="12" style="1414" bestFit="1" customWidth="1"/>
    <col min="15897" max="15897" width="12.85546875" style="1414" customWidth="1"/>
    <col min="15898" max="15898" width="3" style="1414" customWidth="1"/>
    <col min="15899" max="15901" width="0" style="1414" hidden="1" customWidth="1"/>
    <col min="15902" max="15902" width="6.5703125" style="1414" customWidth="1"/>
    <col min="15903" max="15903" width="10" style="1414" customWidth="1"/>
    <col min="15904" max="15904" width="10.7109375" style="1414" customWidth="1"/>
    <col min="15905" max="15905" width="9.28515625" style="1414" customWidth="1"/>
    <col min="15906" max="15906" width="10.42578125" style="1414" customWidth="1"/>
    <col min="15907" max="15907" width="6.28515625" style="1414" customWidth="1"/>
    <col min="15908" max="15908" width="4.5703125" style="1414" customWidth="1"/>
    <col min="15909" max="15909" width="61.85546875" style="1414" customWidth="1"/>
    <col min="15910" max="15911" width="11.42578125" style="1414"/>
    <col min="15912" max="15912" width="38.5703125" style="1414" customWidth="1"/>
    <col min="15913" max="15913" width="24.28515625" style="1414" customWidth="1"/>
    <col min="15914" max="16128" width="11.42578125" style="1414"/>
    <col min="16129" max="16129" width="4.7109375" style="1414" customWidth="1"/>
    <col min="16130" max="16130" width="7" style="1414" customWidth="1"/>
    <col min="16131" max="16131" width="34.28515625" style="1414" customWidth="1"/>
    <col min="16132" max="16141" width="0" style="1414" hidden="1" customWidth="1"/>
    <col min="16142" max="16142" width="11.7109375" style="1414" bestFit="1" customWidth="1"/>
    <col min="16143" max="16143" width="10.85546875" style="1414" bestFit="1" customWidth="1"/>
    <col min="16144" max="16149" width="0" style="1414" hidden="1" customWidth="1"/>
    <col min="16150" max="16150" width="12.5703125" style="1414" customWidth="1"/>
    <col min="16151" max="16151" width="12.85546875" style="1414" bestFit="1" customWidth="1"/>
    <col min="16152" max="16152" width="12" style="1414" bestFit="1" customWidth="1"/>
    <col min="16153" max="16153" width="12.85546875" style="1414" customWidth="1"/>
    <col min="16154" max="16154" width="3" style="1414" customWidth="1"/>
    <col min="16155" max="16157" width="0" style="1414" hidden="1" customWidth="1"/>
    <col min="16158" max="16158" width="6.5703125" style="1414" customWidth="1"/>
    <col min="16159" max="16159" width="10" style="1414" customWidth="1"/>
    <col min="16160" max="16160" width="10.7109375" style="1414" customWidth="1"/>
    <col min="16161" max="16161" width="9.28515625" style="1414" customWidth="1"/>
    <col min="16162" max="16162" width="10.42578125" style="1414" customWidth="1"/>
    <col min="16163" max="16163" width="6.28515625" style="1414" customWidth="1"/>
    <col min="16164" max="16164" width="4.5703125" style="1414" customWidth="1"/>
    <col min="16165" max="16165" width="61.85546875" style="1414" customWidth="1"/>
    <col min="16166" max="16167" width="11.42578125" style="1414"/>
    <col min="16168" max="16168" width="38.5703125" style="1414" customWidth="1"/>
    <col min="16169" max="16169" width="24.28515625" style="1414" customWidth="1"/>
    <col min="16170" max="16384" width="11.42578125" style="1414"/>
  </cols>
  <sheetData>
    <row r="1" spans="1:46" ht="12.75">
      <c r="A1" s="1980" t="s">
        <v>2987</v>
      </c>
      <c r="B1" s="1980"/>
      <c r="C1" s="1980"/>
      <c r="D1" s="1980"/>
      <c r="E1" s="1980"/>
      <c r="F1" s="1980"/>
      <c r="G1" s="1980"/>
      <c r="H1" s="1980"/>
      <c r="I1" s="1980"/>
      <c r="J1" s="1980"/>
      <c r="K1" s="1980"/>
      <c r="L1" s="1980"/>
      <c r="M1" s="1980"/>
      <c r="N1" s="1980"/>
      <c r="O1" s="1980"/>
      <c r="P1" s="1980"/>
      <c r="Q1" s="1980"/>
      <c r="R1" s="1980"/>
      <c r="S1" s="1980"/>
      <c r="T1" s="1980"/>
      <c r="U1" s="1980"/>
      <c r="V1" s="1980"/>
      <c r="W1" s="1980"/>
      <c r="X1" s="1980"/>
      <c r="Y1" s="1980"/>
    </row>
    <row r="2" spans="1:46" ht="12">
      <c r="A2" s="1981" t="s">
        <v>7081</v>
      </c>
      <c r="B2" s="1981"/>
      <c r="C2" s="1981"/>
      <c r="D2" s="1981"/>
      <c r="E2" s="1981"/>
      <c r="F2" s="1981"/>
      <c r="G2" s="1981"/>
      <c r="H2" s="1981"/>
      <c r="I2" s="1981"/>
      <c r="J2" s="1981"/>
      <c r="K2" s="1981"/>
      <c r="L2" s="1981"/>
      <c r="M2" s="1981"/>
      <c r="N2" s="1981"/>
      <c r="O2" s="1981"/>
      <c r="P2" s="1981"/>
      <c r="Q2" s="1981"/>
      <c r="R2" s="1981"/>
      <c r="S2" s="1981"/>
      <c r="T2" s="1981"/>
      <c r="U2" s="1981"/>
      <c r="V2" s="1981"/>
      <c r="W2" s="1981"/>
      <c r="X2" s="1981"/>
      <c r="Y2" s="1981"/>
    </row>
    <row r="3" spans="1:46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6"/>
      <c r="L3" s="1415"/>
      <c r="M3" s="1415"/>
      <c r="N3" s="1415"/>
      <c r="O3" s="1415"/>
      <c r="P3" s="1415"/>
      <c r="Q3" s="1415"/>
      <c r="R3" s="1415"/>
    </row>
    <row r="4" spans="1:46">
      <c r="A4" s="1971" t="s">
        <v>79</v>
      </c>
      <c r="B4" s="1972"/>
      <c r="C4" s="1972"/>
      <c r="D4" s="1972"/>
      <c r="E4" s="1972"/>
      <c r="F4" s="1972"/>
      <c r="G4" s="1972"/>
      <c r="H4" s="1972"/>
      <c r="I4" s="1972"/>
      <c r="J4" s="1972"/>
      <c r="K4" s="1972"/>
      <c r="L4" s="1972"/>
      <c r="M4" s="1972"/>
      <c r="N4" s="1972"/>
      <c r="O4" s="1973"/>
      <c r="P4" s="1417"/>
      <c r="Q4" s="1418"/>
      <c r="R4" s="1419"/>
      <c r="S4" s="1420"/>
      <c r="T4" s="1421"/>
      <c r="U4" s="1419"/>
      <c r="V4" s="1375"/>
      <c r="W4" s="1376"/>
      <c r="X4" s="1376"/>
      <c r="Y4" s="1377"/>
      <c r="AB4" s="1422"/>
      <c r="AC4" s="1422"/>
      <c r="AG4" s="1423">
        <v>289638.34999999998</v>
      </c>
    </row>
    <row r="5" spans="1:46" ht="15" customHeight="1">
      <c r="A5" s="1424"/>
      <c r="B5" s="1425"/>
      <c r="C5" s="1426" t="s">
        <v>256</v>
      </c>
      <c r="D5" s="1426" t="s">
        <v>257</v>
      </c>
      <c r="E5" s="1427" t="s">
        <v>258</v>
      </c>
      <c r="F5" s="1427" t="s">
        <v>259</v>
      </c>
      <c r="G5" s="1427" t="s">
        <v>260</v>
      </c>
      <c r="H5" s="1427" t="s">
        <v>261</v>
      </c>
      <c r="I5" s="1427" t="s">
        <v>262</v>
      </c>
      <c r="J5" s="1427" t="s">
        <v>263</v>
      </c>
      <c r="K5" s="1974" t="s">
        <v>264</v>
      </c>
      <c r="L5" s="1975"/>
      <c r="M5" s="1975"/>
      <c r="N5" s="1975" t="s">
        <v>265</v>
      </c>
      <c r="O5" s="1976"/>
      <c r="P5" s="1428"/>
      <c r="Q5" s="1429"/>
      <c r="R5" s="1430" t="s">
        <v>266</v>
      </c>
      <c r="S5" s="1430" t="s">
        <v>267</v>
      </c>
      <c r="T5" s="1430"/>
      <c r="U5" s="1430"/>
      <c r="V5" s="1977" t="s">
        <v>268</v>
      </c>
      <c r="W5" s="1978"/>
      <c r="X5" s="1978"/>
      <c r="Y5" s="1979"/>
      <c r="AB5" s="1422"/>
      <c r="AC5" s="1422"/>
      <c r="AF5" s="1431">
        <f>SUM(AE7:AE20)</f>
        <v>62205.16</v>
      </c>
      <c r="AG5" s="1432"/>
      <c r="AK5" s="1433" t="s">
        <v>5353</v>
      </c>
      <c r="AL5" s="1434" t="s">
        <v>5354</v>
      </c>
      <c r="AM5" s="1435" t="s">
        <v>5355</v>
      </c>
      <c r="AN5" s="1434" t="s">
        <v>5356</v>
      </c>
      <c r="AO5" s="1434" t="s">
        <v>5357</v>
      </c>
      <c r="AP5" s="1434" t="s">
        <v>5358</v>
      </c>
      <c r="AQ5" s="1434" t="s">
        <v>5359</v>
      </c>
      <c r="AR5" s="1434" t="s">
        <v>5360</v>
      </c>
      <c r="AS5" s="1434" t="s">
        <v>5361</v>
      </c>
      <c r="AT5" s="1434" t="s">
        <v>5362</v>
      </c>
    </row>
    <row r="6" spans="1:46" ht="13.5" customHeight="1">
      <c r="A6" s="1436" t="s">
        <v>269</v>
      </c>
      <c r="B6" s="1430" t="s">
        <v>270</v>
      </c>
      <c r="C6" s="1436" t="s">
        <v>271</v>
      </c>
      <c r="D6" s="1436"/>
      <c r="E6" s="1436"/>
      <c r="F6" s="1436"/>
      <c r="G6" s="1436"/>
      <c r="H6" s="1436"/>
      <c r="I6" s="1436"/>
      <c r="J6" s="1436"/>
      <c r="K6" s="1430" t="s">
        <v>272</v>
      </c>
      <c r="L6" s="1429" t="s">
        <v>273</v>
      </c>
      <c r="M6" s="1430" t="s">
        <v>274</v>
      </c>
      <c r="N6" s="1430" t="s">
        <v>275</v>
      </c>
      <c r="O6" s="1430" t="s">
        <v>276</v>
      </c>
      <c r="P6" s="1437" t="s">
        <v>277</v>
      </c>
      <c r="Q6" s="1437" t="s">
        <v>278</v>
      </c>
      <c r="R6" s="1438" t="s">
        <v>279</v>
      </c>
      <c r="S6" s="1438" t="s">
        <v>280</v>
      </c>
      <c r="T6" s="1438" t="s">
        <v>281</v>
      </c>
      <c r="U6" s="1438" t="s">
        <v>282</v>
      </c>
      <c r="V6" s="1378" t="s">
        <v>283</v>
      </c>
      <c r="W6" s="1378" t="s">
        <v>284</v>
      </c>
      <c r="X6" s="1378" t="s">
        <v>285</v>
      </c>
      <c r="Y6" s="1378" t="s">
        <v>286</v>
      </c>
      <c r="AB6" s="1422"/>
      <c r="AC6" s="1422"/>
      <c r="AF6" s="1432">
        <v>1</v>
      </c>
      <c r="AG6" s="1414" t="s">
        <v>287</v>
      </c>
      <c r="AK6" s="1433"/>
      <c r="AL6" s="1434"/>
      <c r="AM6" s="1435"/>
      <c r="AN6" s="1434"/>
      <c r="AO6" s="1434"/>
      <c r="AP6" s="1434"/>
      <c r="AQ6" s="1434"/>
      <c r="AR6" s="1434"/>
      <c r="AS6" s="1434"/>
      <c r="AT6" s="1434"/>
    </row>
    <row r="7" spans="1:46" ht="13.5" customHeight="1">
      <c r="A7" s="1439">
        <v>2</v>
      </c>
      <c r="B7" s="1440" t="s">
        <v>288</v>
      </c>
      <c r="C7" s="1439" t="s">
        <v>289</v>
      </c>
      <c r="D7" s="1439"/>
      <c r="E7" s="1439"/>
      <c r="F7" s="1439"/>
      <c r="G7" s="1439"/>
      <c r="H7" s="1439"/>
      <c r="I7" s="1439"/>
      <c r="J7" s="1439"/>
      <c r="K7" s="1441" t="s">
        <v>290</v>
      </c>
      <c r="L7" s="1442"/>
      <c r="M7" s="1442">
        <v>1236</v>
      </c>
      <c r="N7" s="1442">
        <f>+M7</f>
        <v>1236</v>
      </c>
      <c r="O7" s="1443"/>
      <c r="P7" s="1442">
        <v>676339.19999999995</v>
      </c>
      <c r="Q7" s="1442">
        <v>1236</v>
      </c>
      <c r="R7" s="1358">
        <v>676339.19999999995</v>
      </c>
      <c r="S7" s="1444">
        <f>+P7/Q7</f>
        <v>547.19999999999993</v>
      </c>
      <c r="T7" s="1445" t="s">
        <v>291</v>
      </c>
      <c r="U7" s="1446">
        <v>38581</v>
      </c>
      <c r="V7" s="1358">
        <f>+R7+2350.41+5484.27+6528.66-6528.66+2990.14+62304.34+2075.24+6142.59+5023.66+8195.1+1794.69+10309.01+53190.55+52646.07+5296.13+14682.25+58031.98+21726.5+1707.22+4172.55+18779.21+25066.39+47222.18+395416.27+34545.28+16669.22+731067+44123.4+7355.34+9004.01+4808.11+13993.87+8196.97+10343.04+6907.72+2885.33+4870.42+427.2+25012.39+28948.45+5350.33+24640.44+4773.29+28341.43+8983.92+60953.35+5755.04</f>
        <v>2568901.5000000009</v>
      </c>
      <c r="W7" s="1358"/>
      <c r="X7" s="1358"/>
      <c r="Y7" s="1358"/>
      <c r="Z7" s="1414" t="s">
        <v>292</v>
      </c>
      <c r="AA7" s="1414" t="s">
        <v>293</v>
      </c>
      <c r="AB7" s="1422"/>
      <c r="AC7" s="1422"/>
      <c r="AE7" s="1431">
        <f>N7</f>
        <v>1236</v>
      </c>
      <c r="AF7" s="1447">
        <f>(AE7*$AF$6)/AF$5</f>
        <v>1.9869734279278437E-2</v>
      </c>
      <c r="AG7" s="1431">
        <f>AG$4*AF7</f>
        <v>5755.0370515886452</v>
      </c>
      <c r="AJ7" s="1423"/>
      <c r="AK7" s="1448" t="s">
        <v>5994</v>
      </c>
      <c r="AL7" s="1449" t="s">
        <v>5363</v>
      </c>
      <c r="AM7" s="1449" t="s">
        <v>5364</v>
      </c>
      <c r="AN7" s="1450" t="s">
        <v>290</v>
      </c>
      <c r="AO7" s="1450" t="s">
        <v>290</v>
      </c>
      <c r="AP7" s="1451" t="s">
        <v>5365</v>
      </c>
      <c r="AQ7" s="1452">
        <v>1236</v>
      </c>
      <c r="AR7" s="1453" t="s">
        <v>5366</v>
      </c>
      <c r="AS7" s="1453" t="s">
        <v>5367</v>
      </c>
      <c r="AT7" s="1453" t="s">
        <v>5368</v>
      </c>
    </row>
    <row r="8" spans="1:46" ht="13.5" customHeight="1">
      <c r="A8" s="1439">
        <v>7</v>
      </c>
      <c r="B8" s="1440" t="s">
        <v>294</v>
      </c>
      <c r="C8" s="1439" t="s">
        <v>295</v>
      </c>
      <c r="D8" s="1439"/>
      <c r="E8" s="1439"/>
      <c r="F8" s="1439"/>
      <c r="G8" s="1439"/>
      <c r="H8" s="1439"/>
      <c r="I8" s="1439"/>
      <c r="J8" s="1439"/>
      <c r="K8" s="1441" t="s">
        <v>290</v>
      </c>
      <c r="L8" s="1439"/>
      <c r="M8" s="1442">
        <v>1034.54</v>
      </c>
      <c r="N8" s="1442">
        <f>+M8</f>
        <v>1034.54</v>
      </c>
      <c r="O8" s="1442"/>
      <c r="P8" s="1442">
        <v>599153.84</v>
      </c>
      <c r="Q8" s="1442">
        <v>1034.54</v>
      </c>
      <c r="R8" s="1442">
        <f>+P8</f>
        <v>599153.84</v>
      </c>
      <c r="S8" s="1444">
        <f>+P8/Q8</f>
        <v>579.14999903338685</v>
      </c>
      <c r="T8" s="1445" t="s">
        <v>291</v>
      </c>
      <c r="U8" s="1446">
        <v>38581</v>
      </c>
      <c r="V8" s="1358">
        <f>+R8+1967.31+4590.36+5464.53-5464.53+2502.76+52149.14+1736.99+5141.38+4204.84+6859.35+1502.17+8628.71+44520.84+44065.1+4432.89+12289.14+48573.14+18185.23+1428.95+3492.45+15718.32+20980.73+39525.27+28914.63+13952.25+36931.57+6156.47+7536.42+4024.42+11712.96+6860.92+8657.19+5781.8+2415.04+4076.57+357.57+20935.53+24230.04+4478.26+20624.21+3995.27+23721.96+7519.6+51018.35+4817</f>
        <v>1240366.9400000002</v>
      </c>
      <c r="W8" s="1358"/>
      <c r="X8" s="1358"/>
      <c r="Y8" s="1358"/>
      <c r="Z8" s="1414" t="s">
        <v>292</v>
      </c>
      <c r="AA8" s="1414" t="s">
        <v>296</v>
      </c>
      <c r="AB8" s="1422"/>
      <c r="AC8" s="1422"/>
      <c r="AE8" s="1431">
        <f t="shared" ref="AE8:AE19" si="0">N8</f>
        <v>1034.54</v>
      </c>
      <c r="AF8" s="1447">
        <f t="shared" ref="AF8:AF18" si="1">(AE8*$AF$6)/AF$5</f>
        <v>1.6631096198450417E-2</v>
      </c>
      <c r="AG8" s="1431">
        <f t="shared" ref="AG8:AG18" si="2">AG$4*AF8</f>
        <v>4817.0032616104509</v>
      </c>
      <c r="AJ8" s="1423"/>
      <c r="AK8" s="1448" t="s">
        <v>5995</v>
      </c>
      <c r="AL8" s="1454" t="s">
        <v>5369</v>
      </c>
      <c r="AM8" s="1454" t="s">
        <v>5370</v>
      </c>
      <c r="AN8" s="1453" t="s">
        <v>290</v>
      </c>
      <c r="AO8" s="1453" t="s">
        <v>290</v>
      </c>
      <c r="AP8" s="1451" t="s">
        <v>5365</v>
      </c>
      <c r="AQ8" s="1452">
        <v>1034.54</v>
      </c>
      <c r="AR8" s="1453" t="s">
        <v>5371</v>
      </c>
      <c r="AS8" s="1453" t="s">
        <v>5367</v>
      </c>
      <c r="AT8" s="1453" t="s">
        <v>5368</v>
      </c>
    </row>
    <row r="9" spans="1:46" ht="13.5" customHeight="1">
      <c r="A9" s="1439">
        <v>9</v>
      </c>
      <c r="B9" s="1440" t="s">
        <v>297</v>
      </c>
      <c r="C9" s="1439" t="s">
        <v>298</v>
      </c>
      <c r="D9" s="1439"/>
      <c r="E9" s="1439"/>
      <c r="F9" s="1439"/>
      <c r="G9" s="1439"/>
      <c r="H9" s="1439"/>
      <c r="I9" s="1439"/>
      <c r="J9" s="1439"/>
      <c r="K9" s="1441" t="s">
        <v>290</v>
      </c>
      <c r="L9" s="1439"/>
      <c r="M9" s="1442">
        <v>774.55</v>
      </c>
      <c r="N9" s="1442">
        <f>+M9</f>
        <v>774.55</v>
      </c>
      <c r="O9" s="1455"/>
      <c r="P9" s="1442">
        <v>275352.53000000003</v>
      </c>
      <c r="Q9" s="1442">
        <v>774.55</v>
      </c>
      <c r="R9" s="1442">
        <f>+P9</f>
        <v>275352.53000000003</v>
      </c>
      <c r="S9" s="1444">
        <f>+P9/Q9</f>
        <v>355.50000645536124</v>
      </c>
      <c r="T9" s="1445" t="s">
        <v>291</v>
      </c>
      <c r="U9" s="1446">
        <v>38581</v>
      </c>
      <c r="V9" s="1358">
        <f>+R9+1472.9+3436.76+4091.24-4091.24+1873.8+39043.55+1300.47+3849.3+3148.12+5135.53+1124.66+6460.23+33332.31+32991.11+3318.87+9200.76+36366.24+13615.1+1069.95+2614.76+11768.15+15708.07+29592.19+21648.1+10445.91+27650.3+4609.29+5642.42+3013.04+8769.38+5136.7+6481.55+4328.78+1808.12+3052.09+267.71+15674.23+18140.8+3352.83+15441.14+2991.22+17760.4+5629.86+38196.94+3606.44</f>
        <v>755422.6100000001</v>
      </c>
      <c r="W9" s="1358"/>
      <c r="X9" s="1358"/>
      <c r="Y9" s="1358"/>
      <c r="Z9" s="1414" t="s">
        <v>292</v>
      </c>
      <c r="AA9" s="1414" t="s">
        <v>299</v>
      </c>
      <c r="AB9" s="1422"/>
      <c r="AC9" s="1422"/>
      <c r="AE9" s="1431">
        <f t="shared" si="0"/>
        <v>774.55</v>
      </c>
      <c r="AF9" s="1447">
        <f t="shared" si="1"/>
        <v>1.2451539389979865E-2</v>
      </c>
      <c r="AG9" s="1431">
        <f t="shared" si="2"/>
        <v>3606.4433238737743</v>
      </c>
      <c r="AH9" s="1423"/>
      <c r="AJ9" s="1423"/>
      <c r="AK9" s="1448" t="s">
        <v>5996</v>
      </c>
      <c r="AL9" s="1454" t="s">
        <v>5372</v>
      </c>
      <c r="AM9" s="1454" t="s">
        <v>5373</v>
      </c>
      <c r="AN9" s="1453" t="s">
        <v>290</v>
      </c>
      <c r="AO9" s="1453" t="s">
        <v>290</v>
      </c>
      <c r="AP9" s="1451" t="s">
        <v>5365</v>
      </c>
      <c r="AQ9" s="1452">
        <v>774.55</v>
      </c>
      <c r="AR9" s="1453" t="s">
        <v>5374</v>
      </c>
      <c r="AS9" s="1453" t="s">
        <v>5367</v>
      </c>
      <c r="AT9" s="1453" t="s">
        <v>5368</v>
      </c>
    </row>
    <row r="10" spans="1:46" ht="13.5" customHeight="1">
      <c r="A10" s="1439"/>
      <c r="B10" s="1440" t="s">
        <v>300</v>
      </c>
      <c r="C10" s="1439" t="s">
        <v>301</v>
      </c>
      <c r="D10" s="1439"/>
      <c r="E10" s="1439"/>
      <c r="F10" s="1439"/>
      <c r="G10" s="1439"/>
      <c r="H10" s="1439"/>
      <c r="I10" s="1439"/>
      <c r="J10" s="1439"/>
      <c r="K10" s="1441" t="s">
        <v>290</v>
      </c>
      <c r="L10" s="1358">
        <v>10000</v>
      </c>
      <c r="M10" s="1442"/>
      <c r="N10" s="1442">
        <v>1302.51</v>
      </c>
      <c r="O10" s="1455"/>
      <c r="P10" s="1442"/>
      <c r="Q10" s="1442"/>
      <c r="R10" s="1444">
        <v>2250000</v>
      </c>
      <c r="S10" s="1358">
        <v>225</v>
      </c>
      <c r="T10" s="1439" t="s">
        <v>302</v>
      </c>
      <c r="U10" s="1439"/>
      <c r="V10" s="1358"/>
      <c r="W10" s="1358"/>
      <c r="X10" s="1358"/>
      <c r="Y10" s="1358">
        <f>487579.41+3151.04+65656.99+2186.91+6473.12+5293.98+8636.08+1891.27+10863.74+56052.77+55478.99+5581.12+15472.32+61154.72+22895.62+1799.08+4397.07+19789.73+26415.23+49763.24+36404.19+17566.2+46497.71+7751.14+9488.52+5066.84+14746.89+8638.06+10899.6+7279.43+3040.59+5132.5+450.19+26358.32+30506.19+5638.24+25966.36+5030.14+29866.5+9467.35+64233.29+6064.72</f>
        <v>1286625.3999999997</v>
      </c>
      <c r="Z10" s="1414" t="s">
        <v>303</v>
      </c>
      <c r="AB10" s="1422"/>
      <c r="AC10" s="1422"/>
      <c r="AE10" s="1431">
        <f t="shared" si="0"/>
        <v>1302.51</v>
      </c>
      <c r="AF10" s="1447">
        <f t="shared" si="1"/>
        <v>2.0938938184549317E-2</v>
      </c>
      <c r="AG10" s="1431">
        <f t="shared" si="2"/>
        <v>6064.7195065248598</v>
      </c>
      <c r="AH10" s="1423"/>
      <c r="AJ10" s="1423"/>
      <c r="AK10" s="1448" t="s">
        <v>290</v>
      </c>
      <c r="AL10" s="1454"/>
      <c r="AM10" s="1454"/>
      <c r="AN10" s="1453"/>
      <c r="AO10" s="1453"/>
      <c r="AP10" s="1451"/>
      <c r="AQ10" s="1452"/>
      <c r="AR10" s="1453"/>
      <c r="AS10" s="1453"/>
      <c r="AT10" s="1453"/>
    </row>
    <row r="11" spans="1:46" ht="13.5" customHeight="1">
      <c r="A11" s="1439">
        <v>10</v>
      </c>
      <c r="B11" s="1440" t="s">
        <v>304</v>
      </c>
      <c r="C11" s="1439" t="s">
        <v>305</v>
      </c>
      <c r="D11" s="1439"/>
      <c r="E11" s="1439"/>
      <c r="F11" s="1439"/>
      <c r="G11" s="1439"/>
      <c r="H11" s="1439"/>
      <c r="I11" s="1439"/>
      <c r="J11" s="1439"/>
      <c r="K11" s="1441" t="s">
        <v>290</v>
      </c>
      <c r="L11" s="1439"/>
      <c r="M11" s="1442">
        <v>7215.17</v>
      </c>
      <c r="N11" s="1442">
        <f>+M11</f>
        <v>7215.17</v>
      </c>
      <c r="O11" s="1442"/>
      <c r="P11" s="1442">
        <v>3463281.6</v>
      </c>
      <c r="Q11" s="1442">
        <v>7215.17</v>
      </c>
      <c r="R11" s="1442">
        <f>+P11/Q11*M11</f>
        <v>3463281.6</v>
      </c>
      <c r="S11" s="1444">
        <f>+P11/Q11</f>
        <v>480</v>
      </c>
      <c r="T11" s="1445" t="s">
        <v>291</v>
      </c>
      <c r="U11" s="1446">
        <v>38581</v>
      </c>
      <c r="V11" s="1358">
        <f>+R11+13720.56+32014.46+38111.17-38111.17+17454.98+363702.64+12114.26+35857.45+29325.7+47839.01+10476.55+60179+310500.7+307322.27+30916.24+85707.9+338762.61+126828.82+9965.91+24357.3+109623.93+146325.47+275660.27+201658.65+97306.84+257571.04+42936.94+52561.07+28067.42+81689.43+47849.95+60377.65+40323.91+16843.16+28431.14+2493.78+146010.21+168987.06+31232.65+143838.96+27864.14+165443.53+52443.74+355816.16+33595.12</f>
        <v>7935280.1800000025</v>
      </c>
      <c r="W11" s="1358"/>
      <c r="X11" s="1358"/>
      <c r="Y11" s="1358"/>
      <c r="Z11" s="1414" t="s">
        <v>292</v>
      </c>
      <c r="AA11" s="1414" t="s">
        <v>306</v>
      </c>
      <c r="AB11" s="1422"/>
      <c r="AC11" s="1422"/>
      <c r="AE11" s="1431">
        <f t="shared" si="0"/>
        <v>7215.17</v>
      </c>
      <c r="AF11" s="1447">
        <f t="shared" si="1"/>
        <v>0.1159898953720238</v>
      </c>
      <c r="AG11" s="1431">
        <f t="shared" si="2"/>
        <v>33595.121912225608</v>
      </c>
      <c r="AH11" s="1423"/>
      <c r="AJ11" s="1423"/>
      <c r="AK11" s="1448" t="s">
        <v>5997</v>
      </c>
      <c r="AL11" s="1454" t="s">
        <v>5375</v>
      </c>
      <c r="AM11" s="1454" t="s">
        <v>5376</v>
      </c>
      <c r="AN11" s="1453" t="s">
        <v>290</v>
      </c>
      <c r="AO11" s="1453" t="s">
        <v>290</v>
      </c>
      <c r="AP11" s="1451" t="s">
        <v>5365</v>
      </c>
      <c r="AQ11" s="1452">
        <v>7215.17</v>
      </c>
      <c r="AR11" s="1453" t="s">
        <v>5377</v>
      </c>
      <c r="AS11" s="1453" t="s">
        <v>5367</v>
      </c>
      <c r="AT11" s="1453" t="s">
        <v>5368</v>
      </c>
    </row>
    <row r="12" spans="1:46" ht="13.5" customHeight="1">
      <c r="A12" s="1439">
        <v>14</v>
      </c>
      <c r="B12" s="1440">
        <v>15</v>
      </c>
      <c r="C12" s="1439" t="s">
        <v>307</v>
      </c>
      <c r="D12" s="1439"/>
      <c r="E12" s="1439"/>
      <c r="F12" s="1439"/>
      <c r="G12" s="1439"/>
      <c r="H12" s="1439"/>
      <c r="I12" s="1439"/>
      <c r="J12" s="1439"/>
      <c r="K12" s="1441" t="s">
        <v>290</v>
      </c>
      <c r="L12" s="1439"/>
      <c r="M12" s="1442">
        <v>14449.2</v>
      </c>
      <c r="N12" s="1442">
        <f>+M12</f>
        <v>14449.2</v>
      </c>
      <c r="O12" s="1442"/>
      <c r="P12" s="1442">
        <v>7022311.2000000002</v>
      </c>
      <c r="Q12" s="1442">
        <v>14449.2</v>
      </c>
      <c r="R12" s="1442">
        <f>+P12</f>
        <v>7022311.2000000002</v>
      </c>
      <c r="S12" s="1444">
        <f>+P12/Q12</f>
        <v>486</v>
      </c>
      <c r="T12" s="1445" t="s">
        <v>291</v>
      </c>
      <c r="U12" s="1446">
        <v>38581</v>
      </c>
      <c r="V12" s="1358">
        <f>+R12+27476.97+64112.61+76321.95-76321.95+34955.58+728355.97+24260.18+71808.63+58728.05+95803.08+20980.48+120515.31+621813.03+615447.87+61913.3+171639.83+678410.69+253989.18+19957.88+48778.28+219534.42+293033.42+552041.09+403844.42+194868.04+515815.36+85986.12+105259.53+56208.21+163592.38+95824.98+120913.12+80753.4+33730.34+56936.59+4994.07+292402.09+338415.85+62546.95+288053.92+55801.12+331319.53+105024.56+712562.39+67278.07</f>
        <v>15977998.089999996</v>
      </c>
      <c r="W12" s="1358"/>
      <c r="X12" s="1358"/>
      <c r="Y12" s="1358"/>
      <c r="Z12" s="1414" t="s">
        <v>292</v>
      </c>
      <c r="AA12" s="1414" t="s">
        <v>308</v>
      </c>
      <c r="AB12" s="1422"/>
      <c r="AC12" s="1422"/>
      <c r="AE12" s="1431">
        <f t="shared" si="0"/>
        <v>14449.2</v>
      </c>
      <c r="AF12" s="1447">
        <f t="shared" si="1"/>
        <v>0.23228298102601136</v>
      </c>
      <c r="AG12" s="1431">
        <f t="shared" si="2"/>
        <v>67278.059357455233</v>
      </c>
      <c r="AH12" s="1423"/>
      <c r="AJ12" s="1423"/>
      <c r="AK12" s="1448" t="s">
        <v>5998</v>
      </c>
      <c r="AL12" s="1454" t="s">
        <v>5378</v>
      </c>
      <c r="AM12" s="1454" t="s">
        <v>5379</v>
      </c>
      <c r="AN12" s="1452" t="s">
        <v>290</v>
      </c>
      <c r="AO12" s="1452" t="s">
        <v>290</v>
      </c>
      <c r="AP12" s="1451" t="s">
        <v>5365</v>
      </c>
      <c r="AQ12" s="1452">
        <v>14449.2</v>
      </c>
      <c r="AR12" s="1453" t="s">
        <v>5380</v>
      </c>
      <c r="AS12" s="1452" t="s">
        <v>5367</v>
      </c>
      <c r="AT12" s="1453" t="s">
        <v>5381</v>
      </c>
    </row>
    <row r="13" spans="1:46" ht="13.5" customHeight="1">
      <c r="A13" s="1439">
        <v>14</v>
      </c>
      <c r="B13" s="1440" t="s">
        <v>309</v>
      </c>
      <c r="C13" s="1439" t="s">
        <v>310</v>
      </c>
      <c r="D13" s="1439"/>
      <c r="E13" s="1439"/>
      <c r="F13" s="1439"/>
      <c r="G13" s="1439"/>
      <c r="H13" s="1439"/>
      <c r="I13" s="1439"/>
      <c r="J13" s="1439"/>
      <c r="K13" s="1441" t="s">
        <v>290</v>
      </c>
      <c r="L13" s="1439"/>
      <c r="M13" s="1442">
        <v>3770.23</v>
      </c>
      <c r="N13" s="1442">
        <f>+M13</f>
        <v>3770.23</v>
      </c>
      <c r="O13" s="1442"/>
      <c r="P13" s="1442">
        <v>1764467.64</v>
      </c>
      <c r="Q13" s="1442">
        <v>3770.23</v>
      </c>
      <c r="R13" s="1442">
        <f>+P13</f>
        <v>1764467.64</v>
      </c>
      <c r="S13" s="1444">
        <f>+P13/Q13</f>
        <v>467.99999999999994</v>
      </c>
      <c r="T13" s="1445" t="s">
        <v>291</v>
      </c>
      <c r="U13" s="1446">
        <v>38581</v>
      </c>
      <c r="V13" s="1358">
        <f>+R13+7169.57+16728.9+19914.69-19914.69+9120.96+190049.93+6330.21+18737.03+15323.91+24997.9+5474.44+31446.06+162249.69+160588.82+16155.04+44785.98+177017.72+66273.4+5207.61+12727.72+57283.12+76461.22+144044.09+105375.13+50846.92+134591.71+22436.36+27465.37+14666.41+242145.37+42686.16+25003.61+31549.86+21070.94+8801.26+14856.47+1303.11+76296.48+88302.85+16320.38+75161.91+14560.19+86451.21+27404.07+185928.92+17554.87</f>
        <v>4343420.5199999996</v>
      </c>
      <c r="W13" s="1358"/>
      <c r="X13" s="1358"/>
      <c r="Y13" s="1358"/>
      <c r="Z13" s="1414" t="s">
        <v>292</v>
      </c>
      <c r="AA13" s="1414" t="s">
        <v>311</v>
      </c>
      <c r="AB13" s="1422"/>
      <c r="AC13" s="1422"/>
      <c r="AE13" s="1431">
        <f t="shared" si="0"/>
        <v>3770.23</v>
      </c>
      <c r="AF13" s="1447">
        <f t="shared" si="1"/>
        <v>6.0609602161621319E-2</v>
      </c>
      <c r="AG13" s="1431">
        <f t="shared" si="2"/>
        <v>17554.865164248429</v>
      </c>
      <c r="AH13" s="1423"/>
      <c r="AJ13" s="1423"/>
      <c r="AK13" s="1448" t="s">
        <v>5999</v>
      </c>
      <c r="AL13" s="1449" t="s">
        <v>5382</v>
      </c>
      <c r="AM13" s="1454" t="s">
        <v>5383</v>
      </c>
      <c r="AN13" s="1452" t="s">
        <v>290</v>
      </c>
      <c r="AO13" s="1452" t="s">
        <v>290</v>
      </c>
      <c r="AP13" s="1451" t="s">
        <v>5365</v>
      </c>
      <c r="AQ13" s="1452">
        <v>3770.23</v>
      </c>
      <c r="AR13" s="1453" t="s">
        <v>5380</v>
      </c>
      <c r="AS13" s="1452" t="s">
        <v>5367</v>
      </c>
      <c r="AT13" s="1453" t="s">
        <v>5368</v>
      </c>
    </row>
    <row r="14" spans="1:46" ht="13.5" customHeight="1">
      <c r="A14" s="1439">
        <v>14</v>
      </c>
      <c r="B14" s="1440">
        <v>19</v>
      </c>
      <c r="C14" s="1439" t="s">
        <v>312</v>
      </c>
      <c r="D14" s="1442">
        <v>480000</v>
      </c>
      <c r="E14" s="1456">
        <v>37865</v>
      </c>
      <c r="F14" s="1456">
        <v>37865</v>
      </c>
      <c r="G14" s="1439">
        <v>3697</v>
      </c>
      <c r="H14" s="1439" t="s">
        <v>313</v>
      </c>
      <c r="I14" s="1439">
        <v>78</v>
      </c>
      <c r="J14" s="1439" t="s">
        <v>314</v>
      </c>
      <c r="K14" s="1441" t="s">
        <v>290</v>
      </c>
      <c r="L14" s="1439"/>
      <c r="M14" s="1442">
        <v>1200</v>
      </c>
      <c r="N14" s="1442">
        <f>+M14</f>
        <v>1200</v>
      </c>
      <c r="O14" s="1442"/>
      <c r="P14" s="1442"/>
      <c r="Q14" s="1442"/>
      <c r="R14" s="1442">
        <f>+S14*M14</f>
        <v>561600</v>
      </c>
      <c r="S14" s="1358">
        <v>468</v>
      </c>
      <c r="T14" s="1439" t="s">
        <v>302</v>
      </c>
      <c r="U14" s="1439"/>
      <c r="V14" s="1358">
        <f>+R14+2281.95+5324.53+6338.51-6338.51+2903.05+60489.66+2014.8+5963.68+4877.34+7956.41+1742.42+10008.75+51641.31+51112.69+5141.87+14254.62+56341.73+21093.69+1657.49+4051.02+18232.24+24336.3+45846.78+33539.11+16183.71+42838.25+7141.11+8741.76+4668.07+107138.65+13586.28+7958.22+10041.78+6706.52+2801.29+4728.56+414.76+24283.87+28105.29+5194.5+23922.76+4634.26+27515.95+8722.25+59178.01+5587.41</f>
        <v>1412504.7000000002</v>
      </c>
      <c r="W14" s="1358"/>
      <c r="X14" s="1358"/>
      <c r="Y14" s="1358"/>
      <c r="Z14" s="1414" t="s">
        <v>303</v>
      </c>
      <c r="AB14" s="1422"/>
      <c r="AC14" s="1422"/>
      <c r="AE14" s="1431">
        <f t="shared" si="0"/>
        <v>1200</v>
      </c>
      <c r="AF14" s="1447">
        <f t="shared" si="1"/>
        <v>1.929100415463926E-2</v>
      </c>
      <c r="AG14" s="1431">
        <f t="shared" si="2"/>
        <v>5587.4146131928601</v>
      </c>
      <c r="AH14" s="1423"/>
      <c r="AJ14" s="1423"/>
      <c r="AK14" s="1448" t="s">
        <v>6000</v>
      </c>
      <c r="AL14" s="1449" t="s">
        <v>5382</v>
      </c>
      <c r="AM14" s="1454" t="s">
        <v>5384</v>
      </c>
      <c r="AN14" s="1452" t="s">
        <v>290</v>
      </c>
      <c r="AO14" s="1452" t="s">
        <v>290</v>
      </c>
      <c r="AP14" s="1451" t="s">
        <v>5365</v>
      </c>
      <c r="AQ14" s="1452">
        <v>1200</v>
      </c>
      <c r="AR14" s="1453" t="s">
        <v>5380</v>
      </c>
      <c r="AS14" s="1452" t="s">
        <v>5367</v>
      </c>
      <c r="AT14" s="1453" t="s">
        <v>5381</v>
      </c>
    </row>
    <row r="15" spans="1:46" ht="13.5" customHeight="1">
      <c r="A15" s="1439">
        <v>14</v>
      </c>
      <c r="B15" s="1440">
        <v>20</v>
      </c>
      <c r="C15" s="1439" t="s">
        <v>315</v>
      </c>
      <c r="D15" s="1439"/>
      <c r="E15" s="1439"/>
      <c r="F15" s="1439"/>
      <c r="G15" s="1439"/>
      <c r="H15" s="1439"/>
      <c r="I15" s="1439"/>
      <c r="J15" s="1439"/>
      <c r="K15" s="1441" t="s">
        <v>290</v>
      </c>
      <c r="L15" s="1439"/>
      <c r="M15" s="1442">
        <v>2324.58</v>
      </c>
      <c r="N15" s="1442">
        <f>+M15</f>
        <v>2324.58</v>
      </c>
      <c r="O15" s="1442"/>
      <c r="P15" s="1442">
        <v>1046061</v>
      </c>
      <c r="Q15" s="1442">
        <v>2324.58</v>
      </c>
      <c r="R15" s="1442">
        <f>+P15</f>
        <v>1046061</v>
      </c>
      <c r="S15" s="1444">
        <f>+P15/Q15</f>
        <v>450</v>
      </c>
      <c r="T15" s="1445" t="s">
        <v>291</v>
      </c>
      <c r="U15" s="1446">
        <v>38581</v>
      </c>
      <c r="V15" s="1358">
        <f>+R15+4420.48+10314.4+12278.64-12278.64+5623.64+117177.54+3902.97+11552.54+9448.14+15412.75+3375.33+19388.44+100036.97+99012.94+9960.58+27613.33+109142.37+40861.65+3210.81+7847.43+35318.59+47143.07+88812.09+64970.29+31350.27+82984.11+13833.4+16934.1+9042.75+26318.66+15416.27+19452.44+12991.54+5426.52+9159.93+803.45+47041.5+54444.17+10062.52+46341.97+8977.26+53302.52+16896.31+114636.68+10823.66</f>
        <v>2486847.3800000008</v>
      </c>
      <c r="W15" s="1358"/>
      <c r="X15" s="1358"/>
      <c r="Y15" s="1358"/>
      <c r="Z15" s="1414" t="s">
        <v>292</v>
      </c>
      <c r="AA15" s="1414" t="s">
        <v>316</v>
      </c>
      <c r="AB15" s="1422"/>
      <c r="AC15" s="1422"/>
      <c r="AE15" s="1431">
        <f t="shared" si="0"/>
        <v>2324.58</v>
      </c>
      <c r="AF15" s="1447">
        <f t="shared" si="1"/>
        <v>3.7369568698159439E-2</v>
      </c>
      <c r="AG15" s="1431">
        <f t="shared" si="2"/>
        <v>10823.660217946546</v>
      </c>
      <c r="AH15" s="1423"/>
      <c r="AJ15" s="1423"/>
      <c r="AK15" s="1448" t="s">
        <v>6001</v>
      </c>
      <c r="AL15" s="1454" t="s">
        <v>5378</v>
      </c>
      <c r="AM15" s="1454" t="s">
        <v>5385</v>
      </c>
      <c r="AN15" s="1452" t="s">
        <v>290</v>
      </c>
      <c r="AO15" s="1452" t="s">
        <v>290</v>
      </c>
      <c r="AP15" s="1451" t="s">
        <v>5365</v>
      </c>
      <c r="AQ15" s="1452">
        <v>2324.58</v>
      </c>
      <c r="AR15" s="1453" t="s">
        <v>5380</v>
      </c>
      <c r="AS15" s="1452" t="s">
        <v>5367</v>
      </c>
      <c r="AT15" s="1453" t="s">
        <v>5368</v>
      </c>
    </row>
    <row r="16" spans="1:46" ht="13.5" customHeight="1">
      <c r="A16" s="1439">
        <v>15</v>
      </c>
      <c r="B16" s="1440" t="s">
        <v>317</v>
      </c>
      <c r="C16" s="1439" t="s">
        <v>318</v>
      </c>
      <c r="D16" s="1439"/>
      <c r="E16" s="1439"/>
      <c r="F16" s="1439"/>
      <c r="G16" s="1439"/>
      <c r="H16" s="1439"/>
      <c r="I16" s="1439"/>
      <c r="J16" s="1439"/>
      <c r="K16" s="1441" t="s">
        <v>290</v>
      </c>
      <c r="L16" s="1439"/>
      <c r="M16" s="1364">
        <v>15477.7</v>
      </c>
      <c r="N16" s="1442">
        <f>+M16-716.33</f>
        <v>14761.37</v>
      </c>
      <c r="O16" s="1442"/>
      <c r="P16" s="1442">
        <v>5571972</v>
      </c>
      <c r="Q16" s="1442">
        <v>15477.77</v>
      </c>
      <c r="R16" s="1442">
        <f>+P16</f>
        <v>5571972</v>
      </c>
      <c r="S16" s="1444">
        <f>+P16/Q16</f>
        <v>359.99837185847832</v>
      </c>
      <c r="T16" s="1445" t="s">
        <v>291</v>
      </c>
      <c r="U16" s="1446">
        <v>38581</v>
      </c>
      <c r="V16" s="1358">
        <f>+R16+29432.8+68676.17+81754.58-81754.58-262419.42+35710.78+247544.63+615669.78+95240.66+744091.85+24784.32+73360.03+59996.85+97872.87+21433.76+123119+635247.11+628744.41+63250.92+1164435+175348.05+693067.55+259476.52+20389.06+49832.11+224277.39+299364.31+563967.75+412569.2+199078.09+526959.37+87843.82+107533.62+57422.51+167126.74+97895.26+123525.42+82497.66+34459.07+58166.68+5101.98+298719.33+345727.23+63898.25+294277.22+57006.69+338477.57+107293.61+727957.06+68731.58</f>
        <v>16586154.220000001</v>
      </c>
      <c r="W16" s="1358"/>
      <c r="X16" s="1358"/>
      <c r="Y16" s="1358"/>
      <c r="Z16" s="1414" t="s">
        <v>292</v>
      </c>
      <c r="AA16" s="1414" t="s">
        <v>319</v>
      </c>
      <c r="AB16" s="1422"/>
      <c r="AC16" s="1422"/>
      <c r="AE16" s="1431">
        <f t="shared" si="0"/>
        <v>14761.37</v>
      </c>
      <c r="AF16" s="1447">
        <f t="shared" si="1"/>
        <v>0.23730137499847279</v>
      </c>
      <c r="AG16" s="1431">
        <f t="shared" si="2"/>
        <v>68731.578707288907</v>
      </c>
      <c r="AH16" s="1423"/>
      <c r="AJ16" s="1423"/>
      <c r="AK16" s="1448" t="s">
        <v>6002</v>
      </c>
      <c r="AL16" s="1454" t="s">
        <v>5386</v>
      </c>
      <c r="AM16" s="1454" t="s">
        <v>5387</v>
      </c>
      <c r="AN16" s="1452" t="s">
        <v>290</v>
      </c>
      <c r="AO16" s="1452" t="s">
        <v>290</v>
      </c>
      <c r="AP16" s="1451" t="s">
        <v>5388</v>
      </c>
      <c r="AQ16" s="1379">
        <v>14761.37</v>
      </c>
      <c r="AR16" s="1453" t="s">
        <v>5389</v>
      </c>
      <c r="AS16" s="1379" t="s">
        <v>5367</v>
      </c>
      <c r="AT16" s="1453" t="s">
        <v>5368</v>
      </c>
    </row>
    <row r="17" spans="1:46" ht="13.5" customHeight="1">
      <c r="A17" s="1439">
        <v>16</v>
      </c>
      <c r="B17" s="1440">
        <v>11</v>
      </c>
      <c r="C17" s="1439" t="s">
        <v>320</v>
      </c>
      <c r="D17" s="1439"/>
      <c r="E17" s="1439"/>
      <c r="F17" s="1439"/>
      <c r="G17" s="1439"/>
      <c r="H17" s="1439"/>
      <c r="I17" s="1439"/>
      <c r="J17" s="1439"/>
      <c r="K17" s="1441" t="s">
        <v>290</v>
      </c>
      <c r="L17" s="1358">
        <v>7490</v>
      </c>
      <c r="M17" s="1439"/>
      <c r="N17" s="1442">
        <f>+L17</f>
        <v>7490</v>
      </c>
      <c r="O17" s="1442"/>
      <c r="P17" s="1442">
        <v>2675708</v>
      </c>
      <c r="Q17" s="1442">
        <v>6370.7349999999997</v>
      </c>
      <c r="R17" s="1444">
        <f>+P17/Q17*L17</f>
        <v>3145799.1770180366</v>
      </c>
      <c r="S17" s="1444">
        <f>+P17/Q17</f>
        <v>419.99989012256827</v>
      </c>
      <c r="T17" s="1445" t="s">
        <v>321</v>
      </c>
      <c r="U17" s="1446">
        <v>38427</v>
      </c>
      <c r="V17" s="1358"/>
      <c r="W17" s="1358"/>
      <c r="X17" s="1358"/>
      <c r="Y17" s="1358">
        <f>+R17+24066.3+56154.68+6960.9+39562.84-39562.84+18119.85+377556.28+12575.7+37223.28+30442.73+49661.23+10875.61+62471.26+322327.85+319028.36+32093.86+88972.56+351666.27+131659.81+10345.52+25285.09+113799.57+151899.09+286160.33+209339.94+101013.32+267382.07+44572.43+54563.14+29136.52+84801.02+49672.59+62677.47+41859.87+17484.72+29514.09+2588.77+151571.83+175423.88+32422.32+149317.87+28925.5+171745.37+54441.35+369369.4+34874.78</f>
        <v>7827843.5570180342</v>
      </c>
      <c r="Z17" s="1414" t="s">
        <v>292</v>
      </c>
      <c r="AB17" s="1422" t="s">
        <v>322</v>
      </c>
      <c r="AC17" s="1422"/>
      <c r="AE17" s="1431">
        <f t="shared" si="0"/>
        <v>7490</v>
      </c>
      <c r="AF17" s="1447">
        <f t="shared" si="1"/>
        <v>0.12040801759854006</v>
      </c>
      <c r="AG17" s="1431">
        <f t="shared" si="2"/>
        <v>34874.779544012104</v>
      </c>
      <c r="AH17" s="1423"/>
      <c r="AJ17" s="1423"/>
      <c r="AK17" s="1448" t="s">
        <v>6003</v>
      </c>
      <c r="AL17" s="1449" t="s">
        <v>376</v>
      </c>
      <c r="AM17" s="1449" t="s">
        <v>376</v>
      </c>
      <c r="AN17" s="1452" t="s">
        <v>290</v>
      </c>
      <c r="AO17" s="1452" t="s">
        <v>290</v>
      </c>
      <c r="AP17" s="1451" t="s">
        <v>5390</v>
      </c>
      <c r="AQ17" s="1452">
        <v>7490</v>
      </c>
      <c r="AR17" s="1453" t="s">
        <v>5391</v>
      </c>
      <c r="AS17" s="1453" t="s">
        <v>5367</v>
      </c>
      <c r="AT17" s="1453" t="s">
        <v>5368</v>
      </c>
    </row>
    <row r="18" spans="1:46" ht="13.5" customHeight="1">
      <c r="A18" s="1439"/>
      <c r="B18" s="1440"/>
      <c r="C18" s="1439" t="s">
        <v>323</v>
      </c>
      <c r="D18" s="1439"/>
      <c r="E18" s="1439"/>
      <c r="F18" s="1439"/>
      <c r="G18" s="1439"/>
      <c r="H18" s="1439"/>
      <c r="I18" s="1439"/>
      <c r="J18" s="1439"/>
      <c r="K18" s="1441" t="s">
        <v>290</v>
      </c>
      <c r="L18" s="1358">
        <v>5500</v>
      </c>
      <c r="M18" s="1439"/>
      <c r="N18" s="1442">
        <f>+L18</f>
        <v>5500</v>
      </c>
      <c r="O18" s="1442"/>
      <c r="P18" s="1442">
        <v>9460000</v>
      </c>
      <c r="Q18" s="1442">
        <f>+L18</f>
        <v>5500</v>
      </c>
      <c r="R18" s="1444">
        <f>+P18</f>
        <v>9460000</v>
      </c>
      <c r="S18" s="1444">
        <f>R18/Q18</f>
        <v>1720</v>
      </c>
      <c r="T18" s="1445" t="s">
        <v>324</v>
      </c>
      <c r="U18" s="1446">
        <v>38455</v>
      </c>
      <c r="V18" s="1358"/>
      <c r="W18" s="1358"/>
      <c r="X18" s="1358"/>
      <c r="Y18" s="1358">
        <f>+R18+20776.98+48479.62+6009.5+29051.49-29051.49+13305.63+277244.26+9234.49+27333.52+22354.48+36466.86+7986.09+45873.42+236689.34+234266.48+23566.92+65333.66+258232.91+96679.43+7596.84+18567.15+83564.44+111541.39+210131.08+153720.92+74175.33+196341.98+32730.09+40066.4+21395.31+62270.44+36475.2+46024.84+30738.22+12839.25+21672.57+1900.97+111301.08+128815.93+23808.11+109645.97+21240.36+126114.76+39976.96+271232.54+25608.98</f>
        <v>12909330.700000001</v>
      </c>
      <c r="AB18" s="1422"/>
      <c r="AC18" s="1422"/>
      <c r="AE18" s="1431">
        <f t="shared" si="0"/>
        <v>5500</v>
      </c>
      <c r="AF18" s="1447">
        <f t="shared" si="1"/>
        <v>8.8417102375429948E-2</v>
      </c>
      <c r="AG18" s="1431">
        <f t="shared" si="2"/>
        <v>25608.98364380061</v>
      </c>
      <c r="AH18" s="1423"/>
      <c r="AJ18" s="1423"/>
      <c r="AK18" s="1448" t="s">
        <v>6004</v>
      </c>
      <c r="AL18" s="1454" t="s">
        <v>5392</v>
      </c>
      <c r="AM18" s="1454" t="s">
        <v>376</v>
      </c>
      <c r="AN18" s="1452" t="s">
        <v>290</v>
      </c>
      <c r="AO18" s="1452" t="s">
        <v>290</v>
      </c>
      <c r="AP18" s="1451" t="s">
        <v>5393</v>
      </c>
      <c r="AQ18" s="1452">
        <v>5500</v>
      </c>
      <c r="AR18" s="1453" t="s">
        <v>5394</v>
      </c>
      <c r="AS18" s="1361" t="s">
        <v>5395</v>
      </c>
      <c r="AT18" s="1453" t="s">
        <v>5368</v>
      </c>
    </row>
    <row r="19" spans="1:46" ht="13.5" customHeight="1">
      <c r="A19" s="1439"/>
      <c r="B19" s="1440"/>
      <c r="C19" s="1439" t="s">
        <v>325</v>
      </c>
      <c r="D19" s="1439">
        <f>63314.95</f>
        <v>63314.95</v>
      </c>
      <c r="E19" s="1456">
        <v>40298</v>
      </c>
      <c r="F19" s="1456">
        <v>40217</v>
      </c>
      <c r="G19" s="1439"/>
      <c r="H19" s="1439"/>
      <c r="I19" s="1439"/>
      <c r="J19" s="1439"/>
      <c r="K19" s="1441" t="s">
        <v>290</v>
      </c>
      <c r="L19" s="1358"/>
      <c r="M19" s="1439"/>
      <c r="N19" s="1442">
        <v>1147.01</v>
      </c>
      <c r="O19" s="1442"/>
      <c r="P19" s="1442"/>
      <c r="Q19" s="1442"/>
      <c r="R19" s="1444"/>
      <c r="S19" s="1444"/>
      <c r="T19" s="1445"/>
      <c r="U19" s="1446"/>
      <c r="V19" s="1358">
        <f>63314.95+6615+2774.85+57818.54+1925.83+5700.33+4661.96+7605.06+1665.48+9566.78+49360.92+48855.64+4914.82+13625.16+53853.77+20162.23+1584.3+3872.13+17427.14+23261.65+43822.26+32058.08+15469.06+40946.58+6825.77+8355.74+4461.93+12986.33+7606.8+9598.36+6410.37+2677.59+4519.75+396.44+23211.54+26864.21+4965.12+22866.37+4429.62+26300.89+8337.08+56564.81+5340.68</f>
        <v>773581.92</v>
      </c>
      <c r="W19" s="1358"/>
      <c r="X19" s="1358"/>
      <c r="Y19" s="1358"/>
      <c r="AB19" s="1422"/>
      <c r="AC19" s="1422"/>
      <c r="AE19" s="1431">
        <f t="shared" si="0"/>
        <v>1147.01</v>
      </c>
      <c r="AF19" s="1447">
        <f>(AE19*$AF$6)/AF$5</f>
        <v>1.843914556284398E-2</v>
      </c>
      <c r="AG19" s="1431">
        <f>AG$4*AF19</f>
        <v>5340.6836962319512</v>
      </c>
      <c r="AH19" s="1423"/>
      <c r="AJ19" s="1423"/>
      <c r="AK19" s="1448" t="s">
        <v>6005</v>
      </c>
      <c r="AL19" s="1449" t="s">
        <v>376</v>
      </c>
      <c r="AM19" s="1449" t="s">
        <v>376</v>
      </c>
      <c r="AN19" s="1452" t="s">
        <v>290</v>
      </c>
      <c r="AO19" s="1452" t="s">
        <v>290</v>
      </c>
      <c r="AP19" s="1452" t="s">
        <v>5365</v>
      </c>
      <c r="AQ19" s="1457">
        <v>1147.01</v>
      </c>
      <c r="AR19" s="1453" t="s">
        <v>5396</v>
      </c>
      <c r="AS19" s="1453" t="s">
        <v>5397</v>
      </c>
      <c r="AT19" s="1453" t="s">
        <v>5368</v>
      </c>
    </row>
    <row r="20" spans="1:46" ht="13.5" hidden="1" customHeight="1">
      <c r="A20" s="1458">
        <v>14</v>
      </c>
      <c r="B20" s="1459">
        <v>6</v>
      </c>
      <c r="C20" s="1458" t="s">
        <v>326</v>
      </c>
      <c r="D20" s="1414">
        <v>725600</v>
      </c>
      <c r="E20" s="1460">
        <v>40969</v>
      </c>
      <c r="F20" s="1460">
        <v>40969</v>
      </c>
      <c r="K20" s="1461" t="s">
        <v>290</v>
      </c>
      <c r="L20" s="1370"/>
      <c r="M20" s="1458"/>
      <c r="N20" s="1462">
        <f>1099-1099</f>
        <v>0</v>
      </c>
      <c r="O20" s="1462"/>
      <c r="P20" s="1462"/>
      <c r="Q20" s="1462"/>
      <c r="R20" s="1463"/>
      <c r="S20" s="1463"/>
      <c r="T20" s="1464"/>
      <c r="U20" s="1465"/>
      <c r="V20" s="1370"/>
      <c r="W20" s="1370"/>
      <c r="X20" s="1370"/>
      <c r="Y20" s="1370">
        <f>725600+94836.52+55398.44+1845.22+5461.73+4466.83+7286.74+1595.77+9166.34+47294.83+46810.7+4709.1+13054.85+51599.63+19318.31+1517.99+3710.06-1093673.06</f>
        <v>0</v>
      </c>
      <c r="AB20" s="1422"/>
      <c r="AC20" s="1422"/>
      <c r="AE20" s="1431">
        <f>N20</f>
        <v>0</v>
      </c>
      <c r="AF20" s="1447">
        <f>(AE20*$AF$6)/AF$5</f>
        <v>0</v>
      </c>
      <c r="AG20" s="1431">
        <f>AG$4*AF20</f>
        <v>0</v>
      </c>
      <c r="AH20" s="1423"/>
      <c r="AJ20" s="1423"/>
      <c r="AK20" s="1448"/>
      <c r="AL20" s="1449"/>
      <c r="AM20" s="1449"/>
      <c r="AN20" s="1452"/>
      <c r="AO20" s="1452"/>
      <c r="AP20" s="1452"/>
      <c r="AQ20" s="1457"/>
      <c r="AR20" s="1453"/>
      <c r="AS20" s="1453"/>
      <c r="AT20" s="1453"/>
    </row>
    <row r="21" spans="1:46" ht="13.5" customHeight="1">
      <c r="A21" s="1458"/>
      <c r="B21" s="1459"/>
      <c r="C21" s="1466" t="s">
        <v>290</v>
      </c>
      <c r="D21" s="1467"/>
      <c r="E21" s="1467"/>
      <c r="F21" s="1467"/>
      <c r="G21" s="1467"/>
      <c r="H21" s="1467"/>
      <c r="I21" s="1467"/>
      <c r="J21" s="1467"/>
      <c r="K21" s="1468" t="s">
        <v>98</v>
      </c>
      <c r="L21" s="1469">
        <f>SUM(L7:L18)</f>
        <v>22990</v>
      </c>
      <c r="M21" s="1469">
        <f>SUM(M7:M18)</f>
        <v>47481.97</v>
      </c>
      <c r="N21" s="1469">
        <f>SUM(N7:N20)</f>
        <v>62205.16</v>
      </c>
      <c r="O21" s="1469">
        <f t="shared" ref="O21:X21" si="3">SUM(O7:O20)</f>
        <v>0</v>
      </c>
      <c r="P21" s="1469">
        <f t="shared" si="3"/>
        <v>32554647.010000002</v>
      </c>
      <c r="Q21" s="1469">
        <f t="shared" si="3"/>
        <v>58152.774999999994</v>
      </c>
      <c r="R21" s="1469">
        <f t="shared" si="3"/>
        <v>35836338.187018037</v>
      </c>
      <c r="S21" s="1469">
        <f t="shared" si="3"/>
        <v>6558.8482674697943</v>
      </c>
      <c r="T21" s="1469">
        <f t="shared" si="3"/>
        <v>0</v>
      </c>
      <c r="U21" s="1469">
        <f t="shared" si="3"/>
        <v>385530</v>
      </c>
      <c r="V21" s="1469">
        <f t="shared" si="3"/>
        <v>54080478.060000002</v>
      </c>
      <c r="W21" s="1469">
        <f t="shared" si="3"/>
        <v>0</v>
      </c>
      <c r="X21" s="1469">
        <f t="shared" si="3"/>
        <v>0</v>
      </c>
      <c r="Y21" s="1469">
        <f>SUM(Y7:Y20)</f>
        <v>22023799.657018036</v>
      </c>
      <c r="AB21" s="1422"/>
      <c r="AC21" s="1422"/>
      <c r="AJ21" s="1423"/>
      <c r="AK21" s="1448"/>
      <c r="AL21" s="1449"/>
      <c r="AM21" s="1449"/>
      <c r="AN21" s="1452"/>
      <c r="AO21" s="1452"/>
      <c r="AP21" s="1452"/>
      <c r="AQ21" s="1457"/>
      <c r="AR21" s="1453"/>
      <c r="AS21" s="1453"/>
      <c r="AT21" s="1453"/>
    </row>
    <row r="22" spans="1:46" ht="11.25" hidden="1">
      <c r="A22" s="1971" t="s">
        <v>327</v>
      </c>
      <c r="B22" s="1972"/>
      <c r="C22" s="1972"/>
      <c r="D22" s="1972"/>
      <c r="E22" s="1972"/>
      <c r="F22" s="1972"/>
      <c r="G22" s="1972"/>
      <c r="H22" s="1972"/>
      <c r="I22" s="1972"/>
      <c r="J22" s="1972"/>
      <c r="K22" s="1972"/>
      <c r="L22" s="1972"/>
      <c r="M22" s="1972"/>
      <c r="N22" s="1972"/>
      <c r="O22" s="1973"/>
      <c r="P22" s="1417"/>
      <c r="Q22" s="1418"/>
      <c r="R22" s="1419"/>
      <c r="S22" s="1420"/>
      <c r="T22" s="1421"/>
      <c r="U22" s="1419"/>
      <c r="V22" s="1375"/>
      <c r="W22" s="1376"/>
      <c r="X22" s="1376"/>
      <c r="Y22" s="1377"/>
      <c r="AB22" s="1422"/>
      <c r="AC22" s="1422"/>
      <c r="AJ22" s="1423"/>
      <c r="AK22" s="1448"/>
      <c r="AL22" s="1449"/>
      <c r="AM22" s="1449"/>
      <c r="AN22" s="1452"/>
      <c r="AO22" s="1452"/>
      <c r="AP22" s="1452"/>
      <c r="AQ22" s="1457"/>
      <c r="AR22" s="1453"/>
      <c r="AS22" s="1453"/>
      <c r="AT22" s="1453"/>
    </row>
    <row r="23" spans="1:46" ht="14.25" hidden="1" customHeight="1">
      <c r="A23" s="1424"/>
      <c r="B23" s="1425"/>
      <c r="C23" s="1426" t="s">
        <v>256</v>
      </c>
      <c r="D23" s="1426" t="s">
        <v>257</v>
      </c>
      <c r="E23" s="1427" t="s">
        <v>258</v>
      </c>
      <c r="F23" s="1427" t="s">
        <v>259</v>
      </c>
      <c r="G23" s="1427" t="s">
        <v>260</v>
      </c>
      <c r="H23" s="1427" t="s">
        <v>261</v>
      </c>
      <c r="I23" s="1427" t="s">
        <v>262</v>
      </c>
      <c r="J23" s="1427" t="s">
        <v>263</v>
      </c>
      <c r="K23" s="1974" t="s">
        <v>264</v>
      </c>
      <c r="L23" s="1975"/>
      <c r="M23" s="1975"/>
      <c r="N23" s="1975" t="s">
        <v>265</v>
      </c>
      <c r="O23" s="1976"/>
      <c r="P23" s="1428"/>
      <c r="Q23" s="1429"/>
      <c r="R23" s="1430" t="s">
        <v>266</v>
      </c>
      <c r="S23" s="1430" t="s">
        <v>267</v>
      </c>
      <c r="T23" s="1430"/>
      <c r="U23" s="1430"/>
      <c r="V23" s="1977" t="s">
        <v>268</v>
      </c>
      <c r="W23" s="1978"/>
      <c r="X23" s="1978"/>
      <c r="Y23" s="1979"/>
      <c r="AB23" s="1422"/>
      <c r="AC23" s="1422"/>
      <c r="AJ23" s="1423"/>
      <c r="AK23" s="1448"/>
      <c r="AL23" s="1449"/>
      <c r="AM23" s="1449"/>
      <c r="AN23" s="1452"/>
      <c r="AO23" s="1452"/>
      <c r="AP23" s="1452"/>
      <c r="AQ23" s="1457"/>
      <c r="AR23" s="1453"/>
      <c r="AS23" s="1453"/>
      <c r="AT23" s="1453"/>
    </row>
    <row r="24" spans="1:46" ht="14.25" hidden="1" customHeight="1">
      <c r="A24" s="1436" t="s">
        <v>269</v>
      </c>
      <c r="B24" s="1430" t="s">
        <v>270</v>
      </c>
      <c r="C24" s="1436" t="s">
        <v>271</v>
      </c>
      <c r="D24" s="1436"/>
      <c r="E24" s="1436"/>
      <c r="F24" s="1436"/>
      <c r="G24" s="1436"/>
      <c r="H24" s="1436"/>
      <c r="I24" s="1436"/>
      <c r="J24" s="1436"/>
      <c r="K24" s="1430" t="s">
        <v>272</v>
      </c>
      <c r="L24" s="1429" t="s">
        <v>273</v>
      </c>
      <c r="M24" s="1430" t="s">
        <v>274</v>
      </c>
      <c r="N24" s="1430" t="s">
        <v>275</v>
      </c>
      <c r="O24" s="1430" t="s">
        <v>276</v>
      </c>
      <c r="P24" s="1437" t="s">
        <v>277</v>
      </c>
      <c r="Q24" s="1437" t="s">
        <v>278</v>
      </c>
      <c r="R24" s="1438" t="s">
        <v>279</v>
      </c>
      <c r="S24" s="1438" t="s">
        <v>280</v>
      </c>
      <c r="T24" s="1438" t="s">
        <v>281</v>
      </c>
      <c r="U24" s="1438" t="s">
        <v>282</v>
      </c>
      <c r="V24" s="1378" t="s">
        <v>283</v>
      </c>
      <c r="W24" s="1378" t="s">
        <v>284</v>
      </c>
      <c r="X24" s="1378" t="s">
        <v>285</v>
      </c>
      <c r="Y24" s="1378" t="s">
        <v>286</v>
      </c>
      <c r="AB24" s="1422"/>
      <c r="AC24" s="1422"/>
      <c r="AJ24" s="1423"/>
      <c r="AK24" s="1448"/>
      <c r="AL24" s="1449"/>
      <c r="AM24" s="1449"/>
      <c r="AN24" s="1452"/>
      <c r="AO24" s="1452"/>
      <c r="AP24" s="1452"/>
      <c r="AQ24" s="1457"/>
      <c r="AR24" s="1453"/>
      <c r="AS24" s="1453"/>
      <c r="AT24" s="1453"/>
    </row>
    <row r="25" spans="1:46" ht="14.25" hidden="1" customHeight="1">
      <c r="A25" s="1439"/>
      <c r="B25" s="1440"/>
      <c r="C25" s="1439" t="s">
        <v>328</v>
      </c>
      <c r="D25" s="1439"/>
      <c r="E25" s="1439"/>
      <c r="F25" s="1439"/>
      <c r="G25" s="1439"/>
      <c r="H25" s="1439"/>
      <c r="I25" s="1439"/>
      <c r="J25" s="1439"/>
      <c r="K25" s="1441" t="s">
        <v>329</v>
      </c>
      <c r="L25" s="1442">
        <v>100649.23</v>
      </c>
      <c r="M25" s="1442"/>
      <c r="N25" s="1442"/>
      <c r="O25" s="1443">
        <f>102184.17-102184.17</f>
        <v>0</v>
      </c>
      <c r="P25" s="1442">
        <v>8051938.4000000004</v>
      </c>
      <c r="Q25" s="1442">
        <v>100649.23</v>
      </c>
      <c r="R25" s="1358">
        <f>+P25</f>
        <v>8051938.4000000004</v>
      </c>
      <c r="S25" s="1358">
        <f>+P25/Q25</f>
        <v>80</v>
      </c>
      <c r="T25" s="1439" t="s">
        <v>330</v>
      </c>
      <c r="U25" s="1446">
        <v>38628</v>
      </c>
      <c r="V25" s="1358"/>
      <c r="W25" s="1358">
        <f>+R25-8051938.4</f>
        <v>0</v>
      </c>
      <c r="X25" s="1358"/>
      <c r="Y25" s="1358"/>
      <c r="Z25" s="1414" t="s">
        <v>292</v>
      </c>
      <c r="AA25" s="1414" t="s">
        <v>331</v>
      </c>
      <c r="AB25" s="1422"/>
      <c r="AC25" s="1422"/>
      <c r="AJ25" s="1423"/>
      <c r="AK25" s="1448"/>
      <c r="AL25" s="1449"/>
      <c r="AM25" s="1449"/>
      <c r="AN25" s="1452"/>
      <c r="AO25" s="1452"/>
      <c r="AP25" s="1452"/>
      <c r="AQ25" s="1457"/>
      <c r="AR25" s="1453"/>
      <c r="AS25" s="1453"/>
      <c r="AT25" s="1453"/>
    </row>
    <row r="26" spans="1:46" s="1416" customFormat="1" ht="14.25" hidden="1" customHeight="1">
      <c r="A26" s="1470"/>
      <c r="B26" s="1471"/>
      <c r="C26" s="1472" t="s">
        <v>329</v>
      </c>
      <c r="D26" s="1472"/>
      <c r="E26" s="1472"/>
      <c r="F26" s="1472"/>
      <c r="G26" s="1472"/>
      <c r="H26" s="1472"/>
      <c r="I26" s="1472"/>
      <c r="J26" s="1472"/>
      <c r="K26" s="1472" t="s">
        <v>98</v>
      </c>
      <c r="L26" s="1455">
        <f>SUM(L25:L25)</f>
        <v>100649.23</v>
      </c>
      <c r="M26" s="1455">
        <f>SUM(M25:M25)</f>
        <v>0</v>
      </c>
      <c r="N26" s="1455">
        <f>SUM(N25:N25)</f>
        <v>0</v>
      </c>
      <c r="O26" s="1455">
        <f>SUM(O25:O25)</f>
        <v>0</v>
      </c>
      <c r="P26" s="1455"/>
      <c r="Q26" s="1455"/>
      <c r="R26" s="1473">
        <f>SUM(R25:R25)</f>
        <v>8051938.4000000004</v>
      </c>
      <c r="S26" s="1470"/>
      <c r="T26" s="1470"/>
      <c r="U26" s="1470"/>
      <c r="V26" s="1371">
        <f>SUM(V25)</f>
        <v>0</v>
      </c>
      <c r="W26" s="1371">
        <f>SUM(W25)</f>
        <v>0</v>
      </c>
      <c r="X26" s="1371">
        <f>SUM(X25)</f>
        <v>0</v>
      </c>
      <c r="Y26" s="1371">
        <f>SUM(Y25:Y25)</f>
        <v>0</v>
      </c>
      <c r="AB26" s="1474"/>
      <c r="AC26" s="1474"/>
      <c r="AJ26" s="1423"/>
      <c r="AK26" s="1448"/>
      <c r="AL26" s="1449"/>
      <c r="AM26" s="1449"/>
      <c r="AN26" s="1452"/>
      <c r="AO26" s="1452"/>
      <c r="AP26" s="1452"/>
      <c r="AQ26" s="1457"/>
      <c r="AR26" s="1453"/>
      <c r="AS26" s="1453"/>
      <c r="AT26" s="1453"/>
    </row>
    <row r="27" spans="1:46" ht="11.25">
      <c r="A27" s="1971" t="s">
        <v>332</v>
      </c>
      <c r="B27" s="1972"/>
      <c r="C27" s="1972"/>
      <c r="D27" s="1972"/>
      <c r="E27" s="1972"/>
      <c r="F27" s="1972"/>
      <c r="G27" s="1972"/>
      <c r="H27" s="1972"/>
      <c r="I27" s="1972"/>
      <c r="J27" s="1972"/>
      <c r="K27" s="1972"/>
      <c r="L27" s="1972"/>
      <c r="M27" s="1972"/>
      <c r="N27" s="1972"/>
      <c r="O27" s="1973"/>
      <c r="P27" s="1417"/>
      <c r="Q27" s="1418"/>
      <c r="R27" s="1419"/>
      <c r="S27" s="1420"/>
      <c r="T27" s="1421"/>
      <c r="U27" s="1419"/>
      <c r="V27" s="1375"/>
      <c r="W27" s="1376"/>
      <c r="X27" s="1376"/>
      <c r="Y27" s="1377"/>
      <c r="AB27" s="1422"/>
      <c r="AC27" s="1422"/>
      <c r="AG27" s="1423">
        <v>-55432.24</v>
      </c>
      <c r="AJ27" s="1423"/>
      <c r="AK27" s="1448"/>
      <c r="AL27" s="1449"/>
      <c r="AM27" s="1449"/>
      <c r="AN27" s="1452"/>
      <c r="AO27" s="1452"/>
      <c r="AP27" s="1452"/>
      <c r="AQ27" s="1457"/>
      <c r="AR27" s="1453"/>
      <c r="AS27" s="1453"/>
      <c r="AT27" s="1453"/>
    </row>
    <row r="28" spans="1:46" ht="11.25">
      <c r="A28" s="1424"/>
      <c r="B28" s="1425"/>
      <c r="C28" s="1426" t="s">
        <v>256</v>
      </c>
      <c r="D28" s="1426" t="s">
        <v>257</v>
      </c>
      <c r="E28" s="1427" t="s">
        <v>258</v>
      </c>
      <c r="F28" s="1427" t="s">
        <v>259</v>
      </c>
      <c r="G28" s="1427" t="s">
        <v>260</v>
      </c>
      <c r="H28" s="1427" t="s">
        <v>261</v>
      </c>
      <c r="I28" s="1427" t="s">
        <v>262</v>
      </c>
      <c r="J28" s="1427" t="s">
        <v>263</v>
      </c>
      <c r="K28" s="1974" t="s">
        <v>264</v>
      </c>
      <c r="L28" s="1975"/>
      <c r="M28" s="1975"/>
      <c r="N28" s="1975" t="s">
        <v>265</v>
      </c>
      <c r="O28" s="1976"/>
      <c r="P28" s="1475"/>
      <c r="Q28" s="1476"/>
      <c r="R28" s="1430" t="s">
        <v>266</v>
      </c>
      <c r="S28" s="1430" t="s">
        <v>267</v>
      </c>
      <c r="T28" s="1430"/>
      <c r="U28" s="1430"/>
      <c r="V28" s="1977" t="s">
        <v>268</v>
      </c>
      <c r="W28" s="1978"/>
      <c r="X28" s="1978"/>
      <c r="Y28" s="1979"/>
      <c r="AB28" s="1422"/>
      <c r="AC28" s="1422"/>
      <c r="AE28" s="1429">
        <f>SUM(AE30:AE45)</f>
        <v>1484500.9649999999</v>
      </c>
      <c r="AJ28" s="1423"/>
      <c r="AK28" s="1448"/>
      <c r="AL28" s="1449"/>
      <c r="AM28" s="1449"/>
      <c r="AN28" s="1452"/>
      <c r="AO28" s="1452"/>
      <c r="AP28" s="1452"/>
      <c r="AQ28" s="1457"/>
      <c r="AR28" s="1453"/>
      <c r="AS28" s="1453"/>
      <c r="AT28" s="1453"/>
    </row>
    <row r="29" spans="1:46" ht="11.25">
      <c r="A29" s="1436" t="s">
        <v>269</v>
      </c>
      <c r="B29" s="1430" t="s">
        <v>270</v>
      </c>
      <c r="C29" s="1436" t="s">
        <v>271</v>
      </c>
      <c r="D29" s="1436"/>
      <c r="E29" s="1436"/>
      <c r="F29" s="1436"/>
      <c r="G29" s="1436"/>
      <c r="H29" s="1436"/>
      <c r="I29" s="1436"/>
      <c r="J29" s="1436"/>
      <c r="K29" s="1430" t="s">
        <v>272</v>
      </c>
      <c r="L29" s="1429" t="s">
        <v>273</v>
      </c>
      <c r="M29" s="1430" t="s">
        <v>274</v>
      </c>
      <c r="N29" s="1430" t="s">
        <v>275</v>
      </c>
      <c r="O29" s="1430" t="s">
        <v>276</v>
      </c>
      <c r="P29" s="1437" t="s">
        <v>277</v>
      </c>
      <c r="Q29" s="1437" t="s">
        <v>278</v>
      </c>
      <c r="R29" s="1438" t="s">
        <v>279</v>
      </c>
      <c r="S29" s="1438" t="s">
        <v>280</v>
      </c>
      <c r="T29" s="1438" t="s">
        <v>281</v>
      </c>
      <c r="U29" s="1438" t="s">
        <v>282</v>
      </c>
      <c r="V29" s="1378" t="s">
        <v>283</v>
      </c>
      <c r="W29" s="1378" t="s">
        <v>284</v>
      </c>
      <c r="X29" s="1378" t="s">
        <v>285</v>
      </c>
      <c r="Y29" s="1378" t="s">
        <v>286</v>
      </c>
      <c r="AB29" s="1422"/>
      <c r="AC29" s="1422"/>
      <c r="AE29" s="1438" t="s">
        <v>280</v>
      </c>
      <c r="AF29" s="1432">
        <v>1</v>
      </c>
      <c r="AG29" s="1414" t="s">
        <v>287</v>
      </c>
      <c r="AJ29" s="1423"/>
      <c r="AK29" s="1448"/>
      <c r="AL29" s="1449"/>
      <c r="AM29" s="1449"/>
      <c r="AN29" s="1452"/>
      <c r="AO29" s="1452"/>
      <c r="AP29" s="1452"/>
      <c r="AQ29" s="1457"/>
      <c r="AR29" s="1453"/>
      <c r="AS29" s="1453"/>
      <c r="AT29" s="1453"/>
    </row>
    <row r="30" spans="1:46" ht="13.5" customHeight="1">
      <c r="A30" s="1439"/>
      <c r="B30" s="1439"/>
      <c r="C30" s="1477" t="s">
        <v>333</v>
      </c>
      <c r="D30" s="1478"/>
      <c r="E30" s="1477"/>
      <c r="F30" s="1477"/>
      <c r="G30" s="1477"/>
      <c r="H30" s="1477"/>
      <c r="I30" s="1477"/>
      <c r="J30" s="1477"/>
      <c r="K30" s="1441" t="s">
        <v>334</v>
      </c>
      <c r="L30" s="1442">
        <v>326450.42499999999</v>
      </c>
      <c r="M30" s="1442"/>
      <c r="N30" s="1443">
        <f>+L30-60000-21513.22+239.13-120000+29760.83-25100-55235.26-25000+25100</f>
        <v>74701.90499999997</v>
      </c>
      <c r="O30" s="1439"/>
      <c r="P30" s="1442">
        <v>12003190.390000001</v>
      </c>
      <c r="Q30" s="1442">
        <f>+L30</f>
        <v>326450.42499999999</v>
      </c>
      <c r="R30" s="1442">
        <f>+P30</f>
        <v>12003190.390000001</v>
      </c>
      <c r="S30" s="1444">
        <f>+P30/Q30</f>
        <v>36.768800009986208</v>
      </c>
      <c r="T30" s="1445" t="s">
        <v>335</v>
      </c>
      <c r="U30" s="1446">
        <v>38406</v>
      </c>
      <c r="V30" s="1358"/>
      <c r="W30" s="1358"/>
      <c r="X30" s="1358"/>
      <c r="Y30" s="1358">
        <f>+R30+3187.9+63113.69+22657.4+2020.06+2020.06+3548.59+42994.27+52969.89+31929.19+5115.59+20258.47+5303.75+62953.55+5313.98+17256.89+109163.57+4411+3764.44+12487.99+18729.24+11855.3+462.18+13481.17-1002.43+32324.98+69656.11+19603.49-19603.49+71252.6+19603.49+15537.5+32239.75+27890.29+34220.02+20278.71+53614.74+18329.09+56788.87+61711.87-2370000+19745.06+25042.44+9304.74+18514.73+20414.47+10818.31+10014.1-866601.91+31673.03+14143.2+9923.13+9445.64+16206.38+8648+96378.82+64856.62+29625.09+675.49+39864.72-4972336.68+46249.32+11177.95+36935.1+28217.64+16275.66+5659.98+17415.3+22166.09+522.45+2382.6+4044.17+1175554.37+32226.74+13690.19+17715.41+6084.09+6120.75+11395.22+33249.08-1092547.37+19689.54+40041.01+13940.96+10288.22+14627.19+11528.68+12606.35+24427.01+146254.46+32721.93+68295.87+48099.58+96090.95-2633404.38+160461.61+60110.26+84914.15+27337.19+24879.39+41199.98+20635.22+49386.71+25705.97+24626.25+70514.75+41196.15+12475.86+20911.07+25595+32710.75-1434075.87+3969.35+13212.13+6501.57+8407.97+23341.48+36421.24+19955.22+16707.18+9422.93+5672.36+27069.73+21277.95+20201.76+25798.87+27580.45+26783.61+19377.92+8699.29+61662.08+59786.58+6638.17+18717.61+27393.78+9638.48+38875.82+1342930.32+40969.3+23618.08+46730.17+26686.71+2943.02+14022.47+633018.68+25534.7+16415.23+77397.56+44127.86+10231.35+8326.6+16309.42+45163.9+10777.49+44035.84+260.24-2789.42</f>
        <v>5815139.1300000045</v>
      </c>
      <c r="Z30" s="1414" t="s">
        <v>292</v>
      </c>
      <c r="AA30" s="1414" t="s">
        <v>336</v>
      </c>
      <c r="AB30" s="1422"/>
      <c r="AC30" s="1422"/>
      <c r="AE30" s="1423">
        <f>N30</f>
        <v>74701.90499999997</v>
      </c>
      <c r="AF30" s="1414">
        <f>(AE30*$AF$29)/$AE$28</f>
        <v>5.0321223603919975E-2</v>
      </c>
      <c r="AG30" s="1417">
        <f>AF30*$AG$27</f>
        <v>-2789.4181439061567</v>
      </c>
      <c r="AH30" s="1479"/>
      <c r="AI30" s="1423"/>
      <c r="AJ30" s="1423"/>
      <c r="AK30" s="1448" t="s">
        <v>6006</v>
      </c>
      <c r="AL30" s="1449" t="s">
        <v>376</v>
      </c>
      <c r="AM30" s="1449" t="s">
        <v>376</v>
      </c>
      <c r="AN30" s="1480" t="s">
        <v>5398</v>
      </c>
      <c r="AO30" s="1480" t="s">
        <v>5398</v>
      </c>
      <c r="AP30" s="1451" t="s">
        <v>5399</v>
      </c>
      <c r="AQ30" s="1457">
        <v>49601.91</v>
      </c>
      <c r="AR30" s="1453" t="s">
        <v>5400</v>
      </c>
      <c r="AS30" s="1453" t="s">
        <v>5401</v>
      </c>
      <c r="AT30" s="1451" t="s">
        <v>5381</v>
      </c>
    </row>
    <row r="31" spans="1:46" ht="13.5" customHeight="1">
      <c r="A31" s="1439"/>
      <c r="B31" s="1439"/>
      <c r="C31" s="1477" t="s">
        <v>337</v>
      </c>
      <c r="D31" s="1478"/>
      <c r="E31" s="1477"/>
      <c r="F31" s="1477"/>
      <c r="G31" s="1477"/>
      <c r="H31" s="1477"/>
      <c r="I31" s="1477"/>
      <c r="J31" s="1477"/>
      <c r="K31" s="1441" t="s">
        <v>334</v>
      </c>
      <c r="L31" s="1442">
        <f>269719.667-134858</f>
        <v>134861.66700000002</v>
      </c>
      <c r="M31" s="1439"/>
      <c r="N31" s="1443">
        <f>+L31-47634.34</f>
        <v>87227.327000000019</v>
      </c>
      <c r="O31" s="1439"/>
      <c r="P31" s="1442">
        <v>21642306.079999998</v>
      </c>
      <c r="Q31" s="1442">
        <f>+L31</f>
        <v>134861.66700000002</v>
      </c>
      <c r="R31" s="1442">
        <f>+P31</f>
        <v>21642306.079999998</v>
      </c>
      <c r="S31" s="1444">
        <f>+P31/Q31</f>
        <v>160.47781820760079</v>
      </c>
      <c r="T31" s="1445" t="s">
        <v>335</v>
      </c>
      <c r="U31" s="1446">
        <v>38406</v>
      </c>
      <c r="V31" s="1358"/>
      <c r="W31" s="1358"/>
      <c r="X31" s="1358"/>
      <c r="Y31" s="1358">
        <f>+R31-10821005.8+35701.05+20286.67+17353-25573.75-10633.67+1316.97+26073.23+9360.12+834.52+834.52+1465.98+17761.59+21882.67+13190.44+2113.31+8369.08+2191.06+26007.52+2195.28+7129.07+45097.63+1822.23+1555.15+5158.98+7737.35+4897.61+190.93+5569.26-414.12+13353.94+28776+8098.5-8098.5+29435.54+8098.5+6418.78+13318.74+11521.91+14136.81+8377.45+22149.07+7572.03+23460.35+25494.12+8156.99+12675.02+4709.52+9371.07+10332.63+5475.6+5068.55+16031.04+7158.46+5463.66+8220.68+4756.92+53014.12+35675.02+16295.58+371.56+21927.98+49827.8+12042.83+20316.52+30400.94+17534.96+6097.91+18762.78+23881.16+562.87+2566.95+4357.08+34720.26+11916.32+15419.99+5295.76+5327.67+9918.72+28940.94+20451.5+41592.59+14480.45+10686.35+15193.24+11974.82+13094.2+25372.3+151914.28+33988.23+70938.8+49960.95+99809.53+290074.64+108664.39+153503.66+49418.84+44975.74+74479.31+37303.35+89278.87+46470+44518.12+127473.1+74472.38+22553.23+37802.01-4791606.27+29926.63+38246.62+6980.29+23234.17+11433.32+14785.81+41047.12+64048.49+35092.21+29380.38+16570.68+9975.12+47603.42+37418.29+35525.75+45368.54+48501.54+47100.27+34077+15298.12+108435.73+105137.57+11673.52+32915.81+48173.28+16949.72+68364.99+47838.71+27578.17+54565.51+31161.32+3436.5+16373.64+739158.23+29816.16+19167.6+90374.97+51526.87+11946.86+9722.75+19044.05+52736.62+12584.57+51419.42+303.88-3257.13</f>
        <v>11063084.759999992</v>
      </c>
      <c r="Z31" s="1414" t="s">
        <v>292</v>
      </c>
      <c r="AA31" s="1414" t="s">
        <v>336</v>
      </c>
      <c r="AB31" s="1422"/>
      <c r="AC31" s="1422"/>
      <c r="AE31" s="1423">
        <f>N31</f>
        <v>87227.327000000019</v>
      </c>
      <c r="AF31" s="1414">
        <f t="shared" ref="AF31:AF55" si="4">(AE31*$AF$29)/$AE$28</f>
        <v>5.8758686627057889E-2</v>
      </c>
      <c r="AG31" s="1481">
        <f t="shared" ref="AG31:AG55" si="5">AF31*$AG$27</f>
        <v>-3257.1256191958632</v>
      </c>
      <c r="AH31" s="1482"/>
      <c r="AI31" s="1423"/>
      <c r="AJ31" s="1423"/>
      <c r="AK31" s="1448" t="s">
        <v>6007</v>
      </c>
      <c r="AL31" s="1449" t="s">
        <v>376</v>
      </c>
      <c r="AM31" s="1449" t="s">
        <v>376</v>
      </c>
      <c r="AN31" s="1483" t="s">
        <v>5398</v>
      </c>
      <c r="AO31" s="1483" t="s">
        <v>5398</v>
      </c>
      <c r="AP31" s="1483" t="s">
        <v>5399</v>
      </c>
      <c r="AQ31" s="1484">
        <v>87227.33</v>
      </c>
      <c r="AR31" s="1453" t="s">
        <v>5400</v>
      </c>
      <c r="AS31" s="1453" t="s">
        <v>5401</v>
      </c>
      <c r="AT31" s="1451" t="s">
        <v>5381</v>
      </c>
    </row>
    <row r="32" spans="1:46" ht="13.5" customHeight="1">
      <c r="A32" s="1439"/>
      <c r="B32" s="1439"/>
      <c r="C32" s="1477" t="s">
        <v>338</v>
      </c>
      <c r="D32" s="1478"/>
      <c r="E32" s="1477"/>
      <c r="F32" s="1477"/>
      <c r="G32" s="1477"/>
      <c r="H32" s="1477"/>
      <c r="I32" s="1477"/>
      <c r="J32" s="1477"/>
      <c r="K32" s="1441" t="s">
        <v>334</v>
      </c>
      <c r="L32" s="1442">
        <v>102059.933</v>
      </c>
      <c r="M32" s="1439"/>
      <c r="N32" s="1443">
        <f>+L32</f>
        <v>102059.933</v>
      </c>
      <c r="O32" s="1439"/>
      <c r="P32" s="1442">
        <v>4335505.95</v>
      </c>
      <c r="Q32" s="1442">
        <f>+L32</f>
        <v>102059.933</v>
      </c>
      <c r="R32" s="1442">
        <f>+P32</f>
        <v>4335505.95</v>
      </c>
      <c r="S32" s="1444">
        <f>+P32/Q32</f>
        <v>42.479999962375047</v>
      </c>
      <c r="T32" s="1445" t="s">
        <v>335</v>
      </c>
      <c r="U32" s="1446">
        <v>38406</v>
      </c>
      <c r="V32" s="1358"/>
      <c r="W32" s="1358"/>
      <c r="X32" s="1358"/>
      <c r="Y32" s="1358">
        <f>+R32+996.65+19731.57+7083.5+631.54+631.54+1109.41+13441.53+16560.26+9982.19+1599.31+6333.51+1658.14+19681.5+1661.34+5395.1+34128.76+1379.03+1176.9+3904.19+5855.45+3706.39+144.49+4214.69-313.39+10105.93+21776.96+6128.74-6128.74+22276.07+6128.74+4857.57+10079.29+8719.49+10698.39+6339.84+16761.86+5730.32+17754.21+19293.31+6173+9592.14+3564.04+7091.79+7819.47+4143.79+3835.75+12131.89+5417.35+4134.75+6221.2+3599.92+40119.76+26997.96+12332.08+281.19+16594.55+37708.43+9113.71+15375.03+23006.67+13270.02+4614.75+14199.2+18072.66+425.97+1942.6+3297.34+26275.42+9017.98+11669.46+4007.7+4031.84+7506.24+21901.78+15477.18+31478.23+10958.44+8087.17+11497.86+9062.25+9909.37+19201.12+114964.93+25721.44+53684.71+37809.19+75533.36+219521.23+82234.49+116167.73+37398.94+34036.52+56364.08+28230.24+67564.02+35167.33+33690.2+96468.45+56358.82+17067.72+28607.61+35015.52+44750.29+8167.26+27185.03+13377.51+17300.06+48026.99+74939.67+41059.47+34376.38+19388.45+11671.35+55698.16+43781.1+41566.75+53083.25+56749+55109.45+39871.64+17899.5+126874.73+123015.73+13658.54+38512.99+56364.92+19831.95+79990.15+55973.46+32267.71+63844.12+36460.16+4020.86+19157.91+864848.69+34886.26+22426.96+105742.82+60288.77+13978.37+11376.05+22282.41+61704.24+14724.52+60163.06+355.55-3810.98</f>
        <v>9062428.3700000066</v>
      </c>
      <c r="Z32" s="1414" t="s">
        <v>292</v>
      </c>
      <c r="AA32" s="1414" t="s">
        <v>336</v>
      </c>
      <c r="AB32" s="1422"/>
      <c r="AC32" s="1422"/>
      <c r="AE32" s="1423">
        <f>N32</f>
        <v>102059.933</v>
      </c>
      <c r="AF32" s="1414">
        <f t="shared" si="4"/>
        <v>6.8750331192947392E-2</v>
      </c>
      <c r="AG32" s="1481">
        <f t="shared" si="5"/>
        <v>-3810.9848587669462</v>
      </c>
      <c r="AH32" s="1482" t="s">
        <v>339</v>
      </c>
      <c r="AI32" s="1423"/>
      <c r="AJ32" s="1423"/>
      <c r="AK32" s="1448" t="s">
        <v>6008</v>
      </c>
      <c r="AL32" s="1449" t="s">
        <v>376</v>
      </c>
      <c r="AM32" s="1449" t="s">
        <v>376</v>
      </c>
      <c r="AN32" s="1483" t="s">
        <v>5398</v>
      </c>
      <c r="AO32" s="1483" t="s">
        <v>5398</v>
      </c>
      <c r="AP32" s="1483" t="s">
        <v>5399</v>
      </c>
      <c r="AQ32" s="1484">
        <v>102059.93</v>
      </c>
      <c r="AR32" s="1453" t="s">
        <v>5400</v>
      </c>
      <c r="AS32" s="1453" t="s">
        <v>5401</v>
      </c>
      <c r="AT32" s="1451" t="s">
        <v>5381</v>
      </c>
    </row>
    <row r="33" spans="1:46" ht="13.5" customHeight="1">
      <c r="A33" s="1439"/>
      <c r="B33" s="1439"/>
      <c r="C33" s="1477" t="s">
        <v>340</v>
      </c>
      <c r="D33" s="1478"/>
      <c r="E33" s="1477"/>
      <c r="F33" s="1477"/>
      <c r="G33" s="1477"/>
      <c r="H33" s="1477"/>
      <c r="I33" s="1477"/>
      <c r="J33" s="1477"/>
      <c r="K33" s="1441" t="s">
        <v>334</v>
      </c>
      <c r="L33" s="1442">
        <v>50895.93</v>
      </c>
      <c r="M33" s="1439"/>
      <c r="N33" s="1443">
        <f>+L33</f>
        <v>50895.93</v>
      </c>
      <c r="O33" s="1439"/>
      <c r="P33" s="1442">
        <v>4035843.67</v>
      </c>
      <c r="Q33" s="1442">
        <f>+L33</f>
        <v>50895.93</v>
      </c>
      <c r="R33" s="1442">
        <f>+P33</f>
        <v>4035843.67</v>
      </c>
      <c r="S33" s="1444">
        <f>+P33/Q33</f>
        <v>79.296000092738254</v>
      </c>
      <c r="T33" s="1445" t="s">
        <v>335</v>
      </c>
      <c r="U33" s="1446">
        <v>38406</v>
      </c>
      <c r="V33" s="1358"/>
      <c r="W33" s="1358"/>
      <c r="X33" s="1358"/>
      <c r="Y33" s="1358">
        <f>+R33+497.02+9839.87+3532.45+314.94+314.94+553.25+6703.11+8258.38+4977.99+797.56+3158.44+826.89+9814.9+828.49+2690.47+17019.56+687.71+586.9+1946.97+2920.03+1848.33+72.06+2101.81-156.29+5039.69+10859.88+3056.32-3056.32+11108.79+3056.32+2422.42+5026.41+4348.29+5335.14+3161.59+8358.92+2857.63+8853.79+9621.32+3078.39+4783.47+1777.34+3536.58+3899.47+2066.45+1912.84+6050.01+2701.56+2061.94+3102.43+1795.23+20007.19+13463.53+6149.85+140.22+8275.48+18804.69+4544.89+7667.32+11473.12+6617.58+2301.31+7080.95+9012.6+212.42+968.75+1644.33+13103.2+4497.15+5819.41+1998.58+2010.63+3743.26+10922.12+7718.26+15696.78+5464.83+4032.96+5733.83+4519.22+4941.67+9575.34+57331.48+12826.94+26771.84+18854.94+37667.48+109472.32+41009.24+57931.3+18650.36+16973.56+28108.01+14078.04+33693.28+17537.47+16800.85+48107.53+28105.39+8511.44+14266.23+17461.77+22316.37+4072.9+13556.81+6671.18+8627.32+23950.42+37371.4+20475.81+17143.04+9668.76+5820.35+27775.94+21833.05+20728.78+26471.91+28299.97+27482.35+19883.45+8926.24+63270.73+61346.31+6811.33+19205.92+28108.44+9889.93+39890.02+27913.22+16091.48+31838.21+18182.2+2005.15+9553.79+431288.53+17397.2+11184.03+52732.54+30065.21+6970.83+5673.08+11111.94+30771.08+7342.92+30002.52+177.31-1900.49</f>
        <v>6393095.7700000023</v>
      </c>
      <c r="Z33" s="1414" t="s">
        <v>292</v>
      </c>
      <c r="AA33" s="1414" t="s">
        <v>336</v>
      </c>
      <c r="AB33" s="1422"/>
      <c r="AC33" s="1422"/>
      <c r="AE33" s="1423">
        <f>N33</f>
        <v>50895.93</v>
      </c>
      <c r="AF33" s="1414">
        <f t="shared" si="4"/>
        <v>3.4284874984907808E-2</v>
      </c>
      <c r="AG33" s="1481">
        <f t="shared" si="5"/>
        <v>-1900.4874185334058</v>
      </c>
      <c r="AH33" s="1482"/>
      <c r="AI33" s="1423"/>
      <c r="AJ33" s="1423"/>
      <c r="AK33" s="1448" t="s">
        <v>6009</v>
      </c>
      <c r="AL33" s="1449" t="s">
        <v>376</v>
      </c>
      <c r="AM33" s="1449" t="s">
        <v>376</v>
      </c>
      <c r="AN33" s="1483" t="s">
        <v>5398</v>
      </c>
      <c r="AO33" s="1483" t="s">
        <v>5398</v>
      </c>
      <c r="AP33" s="1483" t="s">
        <v>5399</v>
      </c>
      <c r="AQ33" s="1484">
        <v>50895.93</v>
      </c>
      <c r="AR33" s="1453" t="s">
        <v>5400</v>
      </c>
      <c r="AS33" s="1453" t="s">
        <v>5401</v>
      </c>
      <c r="AT33" s="1451" t="s">
        <v>5381</v>
      </c>
    </row>
    <row r="34" spans="1:46" ht="13.5" customHeight="1">
      <c r="A34" s="1439"/>
      <c r="B34" s="1440"/>
      <c r="C34" s="1439" t="s">
        <v>341</v>
      </c>
      <c r="D34" s="1442"/>
      <c r="E34" s="1439"/>
      <c r="F34" s="1439"/>
      <c r="G34" s="1439"/>
      <c r="H34" s="1439"/>
      <c r="I34" s="1439"/>
      <c r="J34" s="1439"/>
      <c r="K34" s="1441" t="s">
        <v>334</v>
      </c>
      <c r="M34" s="1442">
        <v>4119.6980000000003</v>
      </c>
      <c r="N34" s="1485"/>
      <c r="O34" s="1443">
        <f>+M34</f>
        <v>4119.6980000000003</v>
      </c>
      <c r="P34" s="1442"/>
      <c r="Q34" s="1442"/>
      <c r="R34" s="1358">
        <f>+S34*M34</f>
        <v>151481.29546000002</v>
      </c>
      <c r="S34" s="1439">
        <v>36.770000000000003</v>
      </c>
      <c r="T34" s="1439" t="s">
        <v>342</v>
      </c>
      <c r="U34" s="1439"/>
      <c r="V34" s="1358">
        <f>+R34+40.23+796.47+285.93+25.49+25.49+44.78+542.57+668.46+777.87+64.58+255.66+66.95+794.45+67.08+217.75+1378.8+55.65+47.52+157.59+235.35+149.61+6.83+6532.5-12.69+407.93+879.04+247.39-247.39+899.18+247.39+196.08+406.86+351.97+431.85+255.91+676.6+231.31+716.66+778.78+249.18+387.19+143.86+286.26+315.66+167.27+154.83+489.71+218.67+166.9+251.12+145.31+1608.09+1089.79+497.79+11.35+669.85+28028.8+1522.12+367.88+620.65+928.68+535.65+186.28+573.16+729.51+17.19+78.41+133.1+1060.62+364.02+471.04+161.77+162.75+302.99+884.08+624.74+1270.55+442.34+326.44+464.12+365.8+400+775.06+4640.61+1038.26+2167.01+1526.19+3048.94+8861.08+3319.43+4689.17+1509.63+1373.9+2275.16+1139.53+2727.25+1419.55+1359.92+3894+2274.95+688.95+1154.76+1413.42+1806.37+329.68+1097.34+539.99+698.33+1938.63+3024.97+1657.39+1387.62+782.62+471.12+2248.28+1767.24+1677.86+2142.73+2290.7+2224.52+1609.44+722.52+5121.35+4965.59+551.33+1554.6+2275.2+800.53+3228.84+2259.4+1302.5+2577.1+1471.73+162.3+773.32+34910.03+1408.2+905.28+4268.36+2433.59+564.24+459.2+899.44+2490.72+594.36+2428.51+14.35-153.83</f>
        <v>377041.65545999998</v>
      </c>
      <c r="W34" s="1358"/>
      <c r="X34" s="1358"/>
      <c r="Y34" s="1358"/>
      <c r="Z34" s="1414" t="s">
        <v>303</v>
      </c>
      <c r="AB34" s="1422"/>
      <c r="AC34" s="1422"/>
      <c r="AE34" s="1423">
        <f t="shared" ref="AE34:AE41" si="6">O34</f>
        <v>4119.6980000000003</v>
      </c>
      <c r="AF34" s="1416">
        <f t="shared" si="4"/>
        <v>2.7751399946041805E-3</v>
      </c>
      <c r="AG34" s="1486">
        <f t="shared" si="5"/>
        <v>-153.83222621449764</v>
      </c>
      <c r="AH34" s="1482"/>
      <c r="AI34" s="1423"/>
      <c r="AJ34" s="1423"/>
      <c r="AK34" s="1448" t="s">
        <v>6010</v>
      </c>
      <c r="AL34" s="1449" t="s">
        <v>376</v>
      </c>
      <c r="AM34" s="1449" t="s">
        <v>376</v>
      </c>
      <c r="AN34" s="1483" t="s">
        <v>5398</v>
      </c>
      <c r="AO34" s="1483" t="s">
        <v>5398</v>
      </c>
      <c r="AP34" s="1483" t="s">
        <v>5365</v>
      </c>
      <c r="AQ34" s="1484">
        <v>4119.7</v>
      </c>
      <c r="AR34" s="1453" t="s">
        <v>5400</v>
      </c>
      <c r="AS34" s="1453" t="s">
        <v>5401</v>
      </c>
      <c r="AT34" s="1451" t="s">
        <v>5381</v>
      </c>
    </row>
    <row r="35" spans="1:46" ht="15" customHeight="1">
      <c r="A35" s="1439"/>
      <c r="B35" s="1440"/>
      <c r="C35" s="1439" t="s">
        <v>343</v>
      </c>
      <c r="D35" s="1442"/>
      <c r="E35" s="1439"/>
      <c r="F35" s="1439"/>
      <c r="G35" s="1439"/>
      <c r="H35" s="1439"/>
      <c r="I35" s="1439"/>
      <c r="J35" s="1439"/>
      <c r="K35" s="1441" t="s">
        <v>334</v>
      </c>
      <c r="L35" s="1442">
        <f>668659.52-20000-61000</f>
        <v>587659.52000000002</v>
      </c>
      <c r="M35" s="1430"/>
      <c r="N35" s="1485"/>
      <c r="O35" s="1443">
        <f>+L35-101171.05-35374.74-20000+20000-47563.18</f>
        <v>403550.55000000005</v>
      </c>
      <c r="P35" s="1442"/>
      <c r="Q35" s="1442"/>
      <c r="R35" s="1358">
        <v>35438954.579999998</v>
      </c>
      <c r="S35" s="1358">
        <f>+R35/L35</f>
        <v>60.305250530102867</v>
      </c>
      <c r="T35" s="1439" t="s">
        <v>344</v>
      </c>
      <c r="U35" s="1456">
        <v>38384</v>
      </c>
      <c r="V35" s="1358"/>
      <c r="W35" s="1380">
        <f>+R35+77000+1007999.41+24412.18+25766.17+6529.69-1095000-3336700+113614.07+40786.7+3636.41+3636.41+6387.99+77396.11+95353.72+57477.3+9208.83+36468.27+9547.52+113325.79+9565.93+31064.93+196512.86+7940.46+6776.58+22480.25+33715.51+21341.31+831.99+24268.12-1804.52+58189.79+125391.39+35289.21-35289.21+128265.34+35289.21+27969.82+58036.37+50206.69+61601.15+36504.71+96514.53+32995.09+102228.45+111090.58+35544.05+55231.39+20521.71+40834.44+45024.4+23859.9+22086.21+69855.25+31192.99+23807.83+35821.58+20728.27+231008.97+155453.86+71007.95+1619.07+95551.16-5991788.89+179744.54+43442.28+88529.24+109665.74+63254.11+21997.1+67683.25+86146.84+2030.46+9259.8+15717.35+125246.89+42985.95+55624.76+19103.45+19218.56+35779.94+104399.06+73774.98+150037.57-2202795.25+48437.27+35745.97+50821.55+40055.91+43800.26+84870.61+508154.9+113691+237291.1+167119.91+333863.97+970302.84+363483.54+513471.4+165306.57+150444.34+249134.09+124780.09+298638.8+155442.64+148913.57+426398.88+249110.87+75440.79+126448.1+154771.63+197800.14+36099.97+120160.18+59129.73+76467.81+212283.44+331239.72+181486.41+151946.58-1564729.1+81899.19+49301.21+235275.9+184936.74+175583.05+224230.19+239714.72+1564729.1-3852566.7+217905.79+157654.63+70775.6+501669.64+486410.92+54006.63+152282.48+222869.98+78416.59+316285.41+221322.12+127588.29+252443.15+144165.47+15898.68+75751.41+3419658.94+137942.17+88677.43+418112.88+238385.1+55271.24+44981.53+88105.84+243981.95+58221.58+237888.03+1405.85-15068.84</f>
        <v>40744923.81999997</v>
      </c>
      <c r="X35" s="1358"/>
      <c r="Y35" s="1358"/>
      <c r="Z35" s="1414" t="s">
        <v>345</v>
      </c>
      <c r="AB35" s="1422" t="s">
        <v>346</v>
      </c>
      <c r="AC35" s="1487" t="s">
        <v>347</v>
      </c>
      <c r="AD35" s="1488"/>
      <c r="AE35" s="1423">
        <f t="shared" si="6"/>
        <v>403550.55000000005</v>
      </c>
      <c r="AF35" s="1414">
        <f t="shared" si="4"/>
        <v>0.27184256495245868</v>
      </c>
      <c r="AG35" s="1481">
        <f t="shared" si="5"/>
        <v>-15068.842302660278</v>
      </c>
      <c r="AH35" s="1482"/>
      <c r="AI35" s="1423"/>
      <c r="AJ35" s="1423"/>
      <c r="AK35" s="1489" t="s">
        <v>6011</v>
      </c>
      <c r="AL35" s="1454" t="s">
        <v>5402</v>
      </c>
      <c r="AM35" s="1454" t="s">
        <v>5403</v>
      </c>
      <c r="AN35" s="1483" t="s">
        <v>5398</v>
      </c>
      <c r="AO35" s="1483" t="s">
        <v>5398</v>
      </c>
      <c r="AP35" s="1483" t="s">
        <v>5399</v>
      </c>
      <c r="AQ35" s="1484">
        <v>403550.55</v>
      </c>
      <c r="AR35" s="1453" t="s">
        <v>5400</v>
      </c>
      <c r="AS35" s="1453" t="s">
        <v>5401</v>
      </c>
      <c r="AT35" s="1451" t="s">
        <v>5381</v>
      </c>
    </row>
    <row r="36" spans="1:46" ht="13.5" customHeight="1">
      <c r="A36" s="1439"/>
      <c r="B36" s="1440"/>
      <c r="C36" s="1439" t="s">
        <v>348</v>
      </c>
      <c r="D36" s="1442">
        <v>534767.88</v>
      </c>
      <c r="E36" s="1456">
        <v>38448</v>
      </c>
      <c r="F36" s="1439"/>
      <c r="G36" s="1439">
        <v>3929</v>
      </c>
      <c r="H36" s="1439" t="s">
        <v>313</v>
      </c>
      <c r="I36" s="1439">
        <v>86</v>
      </c>
      <c r="J36" s="1439"/>
      <c r="K36" s="1441" t="s">
        <v>334</v>
      </c>
      <c r="L36" s="1442">
        <v>10089.959999999999</v>
      </c>
      <c r="M36" s="1430"/>
      <c r="N36" s="1485"/>
      <c r="O36" s="1443">
        <f>+L36</f>
        <v>10089.959999999999</v>
      </c>
      <c r="P36" s="1442"/>
      <c r="Q36" s="1442"/>
      <c r="R36" s="1358">
        <v>534767.88</v>
      </c>
      <c r="S36" s="1358">
        <f>+R36/L36</f>
        <v>53.000000000000007</v>
      </c>
      <c r="T36" s="1439" t="s">
        <v>344</v>
      </c>
      <c r="U36" s="1456">
        <v>38384</v>
      </c>
      <c r="V36" s="1358"/>
      <c r="W36" s="1358">
        <f>+R36+9676+98.53+1950.72+700.3+62.44+62.44+109.68+1328.87+1637.2+986.87+158.11+626.15+163.93+1945.77+164.24+533.38+3374.07+136.34+116.35+385.98+578.89+366.42+14.29+416.68-30.98+999.1+2152.94+605.91-605.91+2202.28+605.91+480.23+996+409.6747+862.04+1057.68+626.78+1657.13+566.52+1755.24+1907.4+610.28+948.31+352.35+701.12+773.06+379.21+1199.4+535.58+408.77+615.05+355.9+3966.36+2669.1+1219.19+27.8+1640.59+3727.97+901.01+1520.02+2274.51+1311.92+456.23+1403.78+1786.72+42.11+192.05+325.98+2597.67+891.55+1153.68+396.21+398.6+742.09+2165.28+1530.12+3111.84+1083.39+799.52+1136.71+895.92+979.67+1898.28+11365.79+2542.9+5307.44+3737.93+7467.46+21702.55+8129.96+11484.7+3697.38+3364.95+5572.33+2790.93+6679.59+3476.75+3330.72+9537.17+5571.81+1687.37+2828.24+3461.74+4424.15+807.44+2687.6+1322.54+1710.34+4748.1+7408.76+4059.27+3398.56+1916.8+1153.87+5506.49+4328.33+4109.42+5247.97+5610.39+5448.29+3941.83+1769.6+12543.22+12161.71+1350.33+3807.51+5572.41+1960.65+7908.07+5533.71+3190.09+6311.83+3604.56+397.51+1894.01+85501.61+3448.96+2217.2+10454.06+5960.33+1381.94+1124.67+2202.91+6100.27+1455.71+5947.91+35.15-376.77</f>
        <v>1011761.3947000002</v>
      </c>
      <c r="X36" s="1358"/>
      <c r="Y36" s="1358"/>
      <c r="Z36" s="1414" t="s">
        <v>345</v>
      </c>
      <c r="AB36" s="1422" t="s">
        <v>346</v>
      </c>
      <c r="AC36" s="1422"/>
      <c r="AE36" s="1423">
        <f t="shared" si="6"/>
        <v>10089.959999999999</v>
      </c>
      <c r="AF36" s="1414">
        <f t="shared" si="4"/>
        <v>6.796869950165374E-3</v>
      </c>
      <c r="AG36" s="1481">
        <f t="shared" si="5"/>
        <v>-376.76572632635504</v>
      </c>
      <c r="AH36" s="1482"/>
      <c r="AI36" s="1423"/>
      <c r="AJ36" s="1423"/>
      <c r="AK36" s="1448" t="s">
        <v>6012</v>
      </c>
      <c r="AL36" s="1454" t="s">
        <v>5404</v>
      </c>
      <c r="AM36" s="1454" t="s">
        <v>5405</v>
      </c>
      <c r="AN36" s="1483" t="s">
        <v>5398</v>
      </c>
      <c r="AO36" s="1483" t="s">
        <v>5398</v>
      </c>
      <c r="AP36" s="1483" t="s">
        <v>5399</v>
      </c>
      <c r="AQ36" s="1484">
        <v>10089.959999999999</v>
      </c>
      <c r="AR36" s="1453" t="s">
        <v>5400</v>
      </c>
      <c r="AS36" s="1453" t="s">
        <v>5401</v>
      </c>
      <c r="AT36" s="1451" t="s">
        <v>5381</v>
      </c>
    </row>
    <row r="37" spans="1:46" ht="13.5" customHeight="1">
      <c r="A37" s="1439">
        <v>10</v>
      </c>
      <c r="B37" s="1440"/>
      <c r="C37" s="1439" t="s">
        <v>349</v>
      </c>
      <c r="D37" s="1442">
        <v>578656.19999999995</v>
      </c>
      <c r="E37" s="1456">
        <v>38417</v>
      </c>
      <c r="F37" s="1456">
        <v>38385</v>
      </c>
      <c r="G37" s="1439">
        <v>3933</v>
      </c>
      <c r="H37" s="1439" t="s">
        <v>313</v>
      </c>
      <c r="I37" s="1439">
        <v>61</v>
      </c>
      <c r="J37" s="1439"/>
      <c r="K37" s="1441" t="s">
        <v>334</v>
      </c>
      <c r="L37" s="1442">
        <v>9644.27</v>
      </c>
      <c r="M37" s="1471"/>
      <c r="N37" s="1485"/>
      <c r="O37" s="1443">
        <f>+L37</f>
        <v>9644.27</v>
      </c>
      <c r="P37" s="1442"/>
      <c r="Q37" s="1442"/>
      <c r="R37" s="1358">
        <v>578656.19999999995</v>
      </c>
      <c r="S37" s="1358">
        <f>+R37/L37</f>
        <v>59.999999999999993</v>
      </c>
      <c r="T37" s="1439" t="s">
        <v>344</v>
      </c>
      <c r="U37" s="1456">
        <v>38384</v>
      </c>
      <c r="V37" s="1358"/>
      <c r="W37" s="1358">
        <f>+R37+9976+94.18+1864.56+669.36+59.68+59.68+104.84+1270.17+1564.88+943.28+151.13+598.49+156.69+1859.83+156.99+509.82+3225.04+130.89+111.21+368.93+553.32+350.24+13.65+398.27-29.61+954.97+2057.84+579.14-579.14+2105+579.14+459.02+952.45+823.96+1010.96+599.09+1583.93+541.49+1677.7+1823.14+583.32+906.42+336.79+670.15+738.91+391.57+362.46+1146.42+511.92+390.72+587.88+340.18+3791.16+2551.2+1165.33+26.57+1568.12+3563.3+861.21+1452.88+2174.04+1253.97+436.08+1341.77+1707.8+40.25+183.57+311.58+2482.93+852.16+1102.72+378.71+380.99+709.31+2069.63+1462.53+2974.38+1035.53+764.21+1086.5+856.35+936.4+1814.43+10863.74+2430.58+5073+3572.82+7137.61+20743.91+7770.84+10977.4+3534.06+3216.32+5326.19+2667.65+6384.54+3323.18+3183.59+9115.9+5325.69+1612.83+2703.31+3308.83+4228.73+771.77+2568.88+1264.12+1634.79+4538.37+7081.51+3879.96+3248.44+1832.13+1102.9+5263.26+4137.14+3927.9+5016.16+5362.57+5207.63+3767.72+1691.43+11989.16+11624.51+1290.68+3639.33+5326.27+1874.04+7558.76+5289.28+3049.17+6033.02+3445.34+379.96+1810.35+81724.86+3296.62+2119.26+9992.29+5697.06+1320.9+1074.99+2105.6+5830.81+1391.41+5685.18+33.6-360.12</f>
        <v>1035308.4900000002</v>
      </c>
      <c r="X37" s="1358"/>
      <c r="Y37" s="1358"/>
      <c r="Z37" s="1414" t="s">
        <v>345</v>
      </c>
      <c r="AB37" s="1422" t="s">
        <v>346</v>
      </c>
      <c r="AC37" s="1422"/>
      <c r="AE37" s="1423">
        <f t="shared" si="6"/>
        <v>9644.27</v>
      </c>
      <c r="AF37" s="1414">
        <f t="shared" si="4"/>
        <v>6.496641111984728E-3</v>
      </c>
      <c r="AG37" s="1481">
        <f t="shared" si="5"/>
        <v>-360.12336931340428</v>
      </c>
      <c r="AH37" s="1482"/>
      <c r="AI37" s="1423"/>
      <c r="AJ37" s="1423"/>
      <c r="AK37" s="1448" t="s">
        <v>6013</v>
      </c>
      <c r="AL37" s="1490" t="s">
        <v>313</v>
      </c>
      <c r="AM37" s="1490">
        <v>61</v>
      </c>
      <c r="AN37" s="1483" t="s">
        <v>5398</v>
      </c>
      <c r="AO37" s="1483" t="s">
        <v>5398</v>
      </c>
      <c r="AP37" s="1483" t="s">
        <v>5399</v>
      </c>
      <c r="AQ37" s="1484">
        <v>9644.27</v>
      </c>
      <c r="AR37" s="1453" t="s">
        <v>5400</v>
      </c>
      <c r="AS37" s="1453" t="s">
        <v>5401</v>
      </c>
      <c r="AT37" s="1451" t="s">
        <v>5381</v>
      </c>
    </row>
    <row r="38" spans="1:46" ht="13.5" customHeight="1">
      <c r="A38" s="1439" t="s">
        <v>350</v>
      </c>
      <c r="B38" s="1440"/>
      <c r="C38" s="1439" t="s">
        <v>351</v>
      </c>
      <c r="D38" s="1442">
        <v>882614</v>
      </c>
      <c r="E38" s="1456">
        <v>38596</v>
      </c>
      <c r="F38" s="1456">
        <v>38614</v>
      </c>
      <c r="G38" s="1439">
        <v>3998</v>
      </c>
      <c r="H38" s="1439" t="s">
        <v>313</v>
      </c>
      <c r="I38" s="1439">
        <v>98</v>
      </c>
      <c r="J38" s="1439"/>
      <c r="K38" s="1441" t="s">
        <v>334</v>
      </c>
      <c r="L38" s="1442">
        <v>22065.360000000001</v>
      </c>
      <c r="M38" s="1471"/>
      <c r="N38" s="1485"/>
      <c r="O38" s="1443">
        <f>+L38</f>
        <v>22065.360000000001</v>
      </c>
      <c r="P38" s="1442">
        <v>882614</v>
      </c>
      <c r="Q38" s="1442">
        <f>L38</f>
        <v>22065.360000000001</v>
      </c>
      <c r="R38" s="1358">
        <f>P38</f>
        <v>882614</v>
      </c>
      <c r="S38" s="1358"/>
      <c r="T38" s="1439" t="s">
        <v>352</v>
      </c>
      <c r="U38" s="1456">
        <v>38594</v>
      </c>
      <c r="V38" s="1358"/>
      <c r="W38" s="1358">
        <f>R38+20930.04+215.48+4265.97+1531.45+136.54+136.54+239.86+2906.06+3580.33+2158.15+345.77+1369.31+358.49+4255.14+359.18+1166.42+7378.64+298.15+254.45+844.09+1265.95+801.32+31.24+911.22-67.76+2184.9+4708.18+1325.03-1325.03+4816.09+1325.03+1050.21+2179.14+1885.15+2312.99+1370.67+3623.91+1238.9+3838.46+4171.21+1334.6+2073.82+770.55+1533.25+1690.57+895.89+829.29+2+1345.0262292+1171.23+893.93+1345.02+778.3+8673.89+5836.96+2666.2+60.79+3587.74+8152.56+1970.38+3324.08+4974.04+2868.98+997.71+3069.87+3907.31+92.09+419.99+712.88+5680.75+1949.69+2522.94+866.46+871.68+1622.85+4735.16+3346.17+6805.16+2369.22+1748.45+2485.84+1959.26+2142.41+4151.28+24855.42+5560.98+11606.64+8174.35+16330.31+47460.5+17779.1+25115.47+8085.65+7358.7+12185.91+6103.38+14607.34+7603.18+7283.82+20856.48+12184.78+3690.04+6184.97+7570.36+9675.01+1765.76+5877.4+2892.22+3740.28+10383.44+16201.95+8877.06+7432.17+4191.78+2523.35+12041.94+9465.47+8986.73+11476.6+12269.14+11914.67+8620.25+3869.87+27430.31+26596+2952.98+8326.51+12186.1+4287.67+17293.87+12101.46+6976.28+13803.1+7882.69+869.31+4141.94+186980.31+7542.41+4848.71+22861.6+13034.43+3022.12+2459.5+4817.46+13340.46+3183.44+13007.26+76.87-823.94</f>
        <v>1924228.4562291999</v>
      </c>
      <c r="X38" s="1358"/>
      <c r="Y38" s="1358"/>
      <c r="Z38" s="1414" t="s">
        <v>353</v>
      </c>
      <c r="AB38" s="1422" t="s">
        <v>354</v>
      </c>
      <c r="AC38" s="1422"/>
      <c r="AE38" s="1423">
        <f>O38</f>
        <v>22065.360000000001</v>
      </c>
      <c r="AF38" s="1414">
        <f t="shared" si="4"/>
        <v>1.4863823278147888E-2</v>
      </c>
      <c r="AG38" s="1481">
        <f t="shared" si="5"/>
        <v>-823.93501927188049</v>
      </c>
      <c r="AH38" s="1482"/>
      <c r="AI38" s="1423"/>
      <c r="AJ38" s="1423"/>
      <c r="AK38" s="1448" t="s">
        <v>6014</v>
      </c>
      <c r="AL38" s="1454" t="s">
        <v>5406</v>
      </c>
      <c r="AM38" s="1454" t="s">
        <v>5407</v>
      </c>
      <c r="AN38" s="1483" t="s">
        <v>5398</v>
      </c>
      <c r="AO38" s="1483" t="s">
        <v>5398</v>
      </c>
      <c r="AP38" s="1483" t="s">
        <v>5399</v>
      </c>
      <c r="AQ38" s="1484">
        <v>22065.360000000001</v>
      </c>
      <c r="AR38" s="1453" t="s">
        <v>5400</v>
      </c>
      <c r="AS38" s="1453" t="s">
        <v>5401</v>
      </c>
      <c r="AT38" s="1451" t="s">
        <v>5381</v>
      </c>
    </row>
    <row r="39" spans="1:46" ht="13.5" customHeight="1">
      <c r="A39" s="1439" t="s">
        <v>355</v>
      </c>
      <c r="B39" s="1440"/>
      <c r="C39" s="1439" t="s">
        <v>356</v>
      </c>
      <c r="D39" s="1442">
        <v>1129889.68</v>
      </c>
      <c r="E39" s="1456">
        <v>38596</v>
      </c>
      <c r="F39" s="1456">
        <v>38614</v>
      </c>
      <c r="G39" s="1439">
        <v>3998</v>
      </c>
      <c r="H39" s="1439" t="s">
        <v>313</v>
      </c>
      <c r="I39" s="1439">
        <v>100</v>
      </c>
      <c r="J39" s="1439"/>
      <c r="K39" s="1441" t="s">
        <v>334</v>
      </c>
      <c r="L39" s="1442">
        <v>28247.241999999998</v>
      </c>
      <c r="M39" s="1471"/>
      <c r="N39" s="1485"/>
      <c r="O39" s="1443">
        <f>+L39</f>
        <v>28247.241999999998</v>
      </c>
      <c r="P39" s="1442">
        <v>1129889.68</v>
      </c>
      <c r="Q39" s="1442">
        <f>O39</f>
        <v>28247.241999999998</v>
      </c>
      <c r="R39" s="1358">
        <f>P39</f>
        <v>1129889.68</v>
      </c>
      <c r="S39" s="1358"/>
      <c r="T39" s="1439" t="s">
        <v>352</v>
      </c>
      <c r="U39" s="1456">
        <v>38594</v>
      </c>
      <c r="V39" s="1358"/>
      <c r="W39" s="1358">
        <f>R39+20930.03+275.84+5461.13+1960.51+174.79+174.79+307.05+3720.23+4583.4+2797.03+2762.78+442.64+1752.93+458.49+5447.27+459.81+1493.21+9445.85+381.68+325.73+1080.57+1620.62+1025.82+39.99+1166.5-86.74+6027.24-1696.26+6165.38+1696.26+1344.44+2789.66+2413.3+2961+1754.69+4639.2+1585.99+4913.85+5339.83+1708.51+2654.83+986.42+1962.8+2164.2+1146.88+1061.63+3357.76+1499.36+1144.38+1721.85+996.35+11103.99+7472.26+3413.16+77.82+4592.89+10436.6+2522.41+4255.36+6367.58+3672.76+1277.23+3929.93+5001.99+117.9+537.66+912.61+7272.28+2495.92+3229.77+1109.21+1115.9+2077.51+6061.78+4283.64+8711.71+3032.98+2238.29+3182.28+2508.17+2742.63+5314.32+31818.97+7118.95+14858.38+10464.49+20905.45+60757.14+22760.13+32151.87+10350.95+9420.32+15599.95+7813.31+18699.77+9733.3+9324.47+26699.68+15598.49+4723.85+7917.76+9691.28+12385.59+2260.46+7524.03+3702.51+4788.16+13292.48+20741.13+11364.08+9514.39+5366.16+3230.29+15415.64+12117.34+11504.47+14691.91+15706.48+15252.71+11035.32+4954.06+35115.25+34047.2+3780.29+10659.28+15600.18+5488.91+22138.96+15491.84+8930.77+17670.21+10091.12+1112.86+5302.36+239365.14+9655.51+6207.14+29266.56+16686.19+3868.81+3148.56+6167.13+17077.95+4075.32+16651.4+98.41-1054.77</f>
        <v>2457398.0199999986</v>
      </c>
      <c r="X39" s="1358"/>
      <c r="Y39" s="1358"/>
      <c r="Z39" s="1414" t="s">
        <v>353</v>
      </c>
      <c r="AB39" s="1422" t="s">
        <v>354</v>
      </c>
      <c r="AC39" s="1422"/>
      <c r="AE39" s="1423">
        <f t="shared" si="6"/>
        <v>28247.241999999998</v>
      </c>
      <c r="AF39" s="1414">
        <f t="shared" si="4"/>
        <v>1.9028106189206823E-2</v>
      </c>
      <c r="AG39" s="1481">
        <f t="shared" si="5"/>
        <v>-1054.770549025598</v>
      </c>
      <c r="AH39" s="1482"/>
      <c r="AI39" s="1423"/>
      <c r="AJ39" s="1423"/>
      <c r="AK39" s="1448" t="s">
        <v>6015</v>
      </c>
      <c r="AL39" s="1454" t="s">
        <v>5408</v>
      </c>
      <c r="AM39" s="1491">
        <v>92</v>
      </c>
      <c r="AN39" s="1483" t="s">
        <v>5398</v>
      </c>
      <c r="AO39" s="1483" t="s">
        <v>5398</v>
      </c>
      <c r="AP39" s="1483" t="s">
        <v>5399</v>
      </c>
      <c r="AQ39" s="1484">
        <v>28247.24</v>
      </c>
      <c r="AR39" s="1453" t="s">
        <v>5400</v>
      </c>
      <c r="AS39" s="1453" t="s">
        <v>5401</v>
      </c>
      <c r="AT39" s="1451" t="s">
        <v>5381</v>
      </c>
    </row>
    <row r="40" spans="1:46" ht="13.5" customHeight="1">
      <c r="A40" s="1439"/>
      <c r="B40" s="1440"/>
      <c r="C40" s="1439" t="s">
        <v>357</v>
      </c>
      <c r="D40" s="1442"/>
      <c r="E40" s="1439"/>
      <c r="F40" s="1439"/>
      <c r="G40" s="1439"/>
      <c r="H40" s="1439"/>
      <c r="I40" s="1439"/>
      <c r="J40" s="1439"/>
      <c r="K40" s="1441" t="s">
        <v>358</v>
      </c>
      <c r="L40" s="1442">
        <v>655048.32999999996</v>
      </c>
      <c r="M40" s="1471"/>
      <c r="N40" s="1485"/>
      <c r="O40" s="1443">
        <f>+L40-77400-20000-30000</f>
        <v>527648.32999999996</v>
      </c>
      <c r="P40" s="1442"/>
      <c r="Q40" s="1442"/>
      <c r="R40" s="1358"/>
      <c r="S40" s="1358"/>
      <c r="T40" s="1439"/>
      <c r="U40" s="1456"/>
      <c r="V40" s="1358"/>
      <c r="W40" s="1358">
        <f>32752416.5+681250.24+460+6396.78+126642.56+45463.85+4053.41+4053.41+7120.52+86271.37+106288.24+64068.41+10264.83+40650.21+10642.39+126321.22+10662.91+34627.24+219047.62+8851.02+7553.67+25058.13+37581.77+23788.59+927.4+27051.03-2011.45+64862.63+139770.43+1696.26+142973.94+31177.21+64691.59+55964.05+68665.15+40690.83+107582.17+36778.75+113951.31+123829.69+39620+61564.95+22875+45517.06+50187.49+26595.99+24618.91+77865.77+34769.99+26537.95+39929.36+23105.25+257499.51+173280.25+79150.66+1804.74+106508.31+242022.92+58494.28+98681.12+147663.03+85170.58+29618.71+91134.33+115995.24+2733.98+12468.16+21163.14+168642.77+57879.84+74897.78+25722.46+25877.45+48177.07+140571.54-4489634.63+87599.19+178152.12+62023.62+45772.49+65076.69+51291.35+56085.95+108676.29+650689.21+145580.6+303849.78+213996.01+427510.74+1242466.76+465438.42+657496.94+211674.03+192643.04+319014.66+159780.13+382405.12+199043.33+190682.9+546001.12+318984.92+96601.46+161916.03+198184.1+253281.85+46225.79+153864.37+75715.26+97916.56+271827.64+424150.41+232392.24+194566.65+109736.54+66058.59+315245.66+247796.33+235263.35+300445.54+321193.12+311913.62+225669.2-1562498.99+97801.6+693244.66-2386304.67+635989.5+70614.47+199111.6+291405.8+102530.86+413547.87+289381.96+166823.58+330073.18+188498.49+20787.76+99046.07+4471254.78+180361.52+115947.06+546688.79+311692.06+72267.98+58814.02+115199.7+319010.02+76125.57+311042.13+1838.19-19702.73</f>
        <v>51339339.390000008</v>
      </c>
      <c r="X40" s="1358"/>
      <c r="Y40" s="1358"/>
      <c r="AB40" s="1422"/>
      <c r="AC40" s="1422"/>
      <c r="AE40" s="1423">
        <f t="shared" si="6"/>
        <v>527648.32999999996</v>
      </c>
      <c r="AF40" s="1414">
        <f>(AE40*$AF$29)/$AE$28</f>
        <v>0.35543818592263426</v>
      </c>
      <c r="AG40" s="1481">
        <f t="shared" si="5"/>
        <v>-19702.734827228083</v>
      </c>
      <c r="AH40" s="1482"/>
      <c r="AI40" s="1423"/>
      <c r="AJ40" s="1423"/>
      <c r="AK40" s="1448" t="s">
        <v>6016</v>
      </c>
      <c r="AL40" s="1453" t="s">
        <v>357</v>
      </c>
      <c r="AM40" s="1454" t="s">
        <v>376</v>
      </c>
      <c r="AN40" s="1483" t="s">
        <v>5409</v>
      </c>
      <c r="AO40" s="1483" t="s">
        <v>5409</v>
      </c>
      <c r="AP40" s="1483" t="s">
        <v>5399</v>
      </c>
      <c r="AQ40" s="1484">
        <v>557648.32999999996</v>
      </c>
      <c r="AR40" s="1453" t="s">
        <v>5400</v>
      </c>
      <c r="AS40" s="1453" t="s">
        <v>5401</v>
      </c>
      <c r="AT40" s="1451" t="s">
        <v>5381</v>
      </c>
    </row>
    <row r="41" spans="1:46" ht="13.5" customHeight="1">
      <c r="A41" s="1439"/>
      <c r="B41" s="1440"/>
      <c r="C41" s="1439" t="s">
        <v>359</v>
      </c>
      <c r="D41" s="1442">
        <v>3119074.92</v>
      </c>
      <c r="E41" s="1456">
        <v>38888</v>
      </c>
      <c r="F41" s="1456">
        <v>39052</v>
      </c>
      <c r="G41" s="1439"/>
      <c r="H41" s="1439"/>
      <c r="I41" s="1439">
        <v>650</v>
      </c>
      <c r="J41" s="1439"/>
      <c r="K41" s="1441" t="s">
        <v>358</v>
      </c>
      <c r="L41" s="1442"/>
      <c r="M41" s="1471"/>
      <c r="N41" s="1485"/>
      <c r="O41" s="1443">
        <v>50307.66</v>
      </c>
      <c r="P41" s="1442"/>
      <c r="Q41" s="1442"/>
      <c r="R41" s="1358"/>
      <c r="S41" s="1358"/>
      <c r="T41" s="1439"/>
      <c r="U41" s="1456"/>
      <c r="V41" s="1358"/>
      <c r="W41" s="1358">
        <f>3119074.92+59522.9+1924.46+2886.28+1826.96+71.22+2077.52-154.48+4981.44+10980.39+2394.41+4968.31+4298.03+5273.48+3125.05+8262.3+2824.6+8751.45+9510.11+3042.81+4728.18+1756.8+3495.71+3854.4+2042.57+1890.73+5980.09+2670.33+2038.11+3066.57+1774.48+19775.94+13307.91+6078.76+138.6+8179.83+18587.34+4492.36+7578.7+11340.51+6541.09+2274.71+6999.11+8908.42+209.97+957.55+1625.33+12951.75+4445.17+5752.14+1975.48+1987.39+3700+10795.88+7629.05+15515.35+5401.67+3986.35+5667.56+4466.99+4884.55+9464.67+56668.82+12678.68+26462.42+18637.01+37232.11+108207+40535.25+57261.71+18434.79+16777.37+27783.13+13915.33+33303.84+17334.78+16606.66+47551.49+27780.54+8413.07+14101.34+17259.95+22058.43+4025.83+13400.12+6594.08+8527.6+23673.59+36939.45+20239.15+16944.9+9557.01+5753.07+27454.89+21580.7+20489.19+26165.94+27972.86+27164.7+19653.63+8823.07+62539.44+60637.25+6732.61+18983.93+27783.55+9775.62+39428.96+27590.59+15905.49+31470.22+17972.04+1981.97+9443.37+426303.57+17196.23+11054.76+52123.04+29717.71+6890.26+5607.51+10983.5+30415.42+7258.05+29655.74+175.26-1878.52</f>
        <v>5424271.330000001</v>
      </c>
      <c r="X41" s="1358"/>
      <c r="Y41" s="1358"/>
      <c r="AB41" s="1422"/>
      <c r="AC41" s="1422"/>
      <c r="AE41" s="1423">
        <f t="shared" si="6"/>
        <v>50307.66</v>
      </c>
      <c r="AF41" s="1414">
        <f t="shared" si="4"/>
        <v>3.3888600402492843E-2</v>
      </c>
      <c r="AG41" s="1481">
        <f>AF41*$AG$27</f>
        <v>-1878.5210307750797</v>
      </c>
      <c r="AH41" s="1482"/>
      <c r="AI41" s="1423"/>
      <c r="AJ41" s="1423"/>
      <c r="AK41" s="1448" t="s">
        <v>6017</v>
      </c>
      <c r="AL41" s="1454" t="s">
        <v>5410</v>
      </c>
      <c r="AM41" s="1454" t="s">
        <v>5411</v>
      </c>
      <c r="AN41" s="1483" t="s">
        <v>5409</v>
      </c>
      <c r="AO41" s="1483" t="s">
        <v>5409</v>
      </c>
      <c r="AP41" s="1483" t="s">
        <v>5399</v>
      </c>
      <c r="AQ41" s="1484">
        <v>50307.66</v>
      </c>
      <c r="AR41" s="1453" t="s">
        <v>5400</v>
      </c>
      <c r="AS41" s="1453" t="s">
        <v>5401</v>
      </c>
      <c r="AT41" s="1451" t="s">
        <v>5381</v>
      </c>
    </row>
    <row r="42" spans="1:46" ht="13.5" customHeight="1">
      <c r="A42" s="1439"/>
      <c r="B42" s="1440"/>
      <c r="C42" s="1439" t="s">
        <v>360</v>
      </c>
      <c r="D42" s="1442">
        <v>2081091.5</v>
      </c>
      <c r="E42" s="1456"/>
      <c r="F42" s="1456"/>
      <c r="G42" s="1439"/>
      <c r="H42" s="1439"/>
      <c r="I42" s="1439"/>
      <c r="J42" s="1439"/>
      <c r="K42" s="1441" t="s">
        <v>358</v>
      </c>
      <c r="L42" s="1442"/>
      <c r="M42" s="1471"/>
      <c r="N42" s="1485"/>
      <c r="O42" s="1443">
        <v>41621.83</v>
      </c>
      <c r="P42" s="1442"/>
      <c r="Q42" s="1442"/>
      <c r="R42" s="1358"/>
      <c r="S42" s="1358"/>
      <c r="T42" s="1439"/>
      <c r="U42" s="1456"/>
      <c r="V42" s="1358"/>
      <c r="W42" s="1358">
        <f>2081091.5+48700.55+1592.2+2387.95+1511.53+58.93+1718.82-127.81+4121.38+9084.58+1981+4110.51+3555.96+4362.99+2585.5+6835.78+2336.92+7240.48+7868.15+2517.46+3911.84+1453.48+2892.16+3188.92+1689.91+1564.29+4947.6+2209.29+1686.22+2537.12+1468.11+16361.54+11010.24+5029.24+114.67+6767.55+15378.16+3716.73+6270.21+9382.52+5411.75+1881.98+5790.68+7370.35+173.72+792.23+1344.71+10715.58+3677.69+4759.01+1634.41+1644.26+3061.18+8931.93+6311.87+12836.56+4469.05+3298.09+4689.03+3695.74+4041.21+7830.55+46884.71+10489.65+21893.57+15419.25+30803.83+89524.61+33536.67+47375.24+15251.95+13880.69+22986.26+11512.79+27553.79+14341.85+13739.45+39341.52+22984.12+6960.51+11666.69+14279.94+18249.95+3330.75+11086.53+5455.58+7055.27+19586.25+30561.7+16744.77+14019.29+7906.95+4759.78+22714.69+17854.7+16951.65+21648.28+23143.23+22474.6+16260.35+7299.73+51741.74+50167.97+5570.19+15706.27+22986.6+8087.82+32621.38+22826.96+13159.34+26036.75+14869.09+1639.78+7812.93+352700.46+14227.23+9146.11+43123.78+24586.82+5700.62+4639.35+9087.16+25164.07+6004.92+24535.55+145-1554.19</f>
        <v>3987740.5999999996</v>
      </c>
      <c r="X42" s="1358"/>
      <c r="Y42" s="1358"/>
      <c r="AB42" s="1422"/>
      <c r="AC42" s="1422"/>
      <c r="AE42" s="1423">
        <f>O42</f>
        <v>41621.83</v>
      </c>
      <c r="AF42" s="1414">
        <f t="shared" si="4"/>
        <v>2.8037590396581526E-2</v>
      </c>
      <c r="AG42" s="1481">
        <f t="shared" si="5"/>
        <v>-1554.1864398850023</v>
      </c>
      <c r="AH42" s="1482"/>
      <c r="AI42" s="1423"/>
      <c r="AJ42" s="1423"/>
      <c r="AK42" s="1448" t="s">
        <v>6018</v>
      </c>
      <c r="AL42" s="1454" t="s">
        <v>5412</v>
      </c>
      <c r="AM42" s="1454" t="s">
        <v>5411</v>
      </c>
      <c r="AN42" s="1483" t="s">
        <v>5409</v>
      </c>
      <c r="AO42" s="1483" t="s">
        <v>5409</v>
      </c>
      <c r="AP42" s="1483" t="s">
        <v>5399</v>
      </c>
      <c r="AQ42" s="1484">
        <v>41621.83</v>
      </c>
      <c r="AR42" s="1453" t="s">
        <v>5400</v>
      </c>
      <c r="AS42" s="1453" t="s">
        <v>5401</v>
      </c>
      <c r="AT42" s="1451" t="s">
        <v>5381</v>
      </c>
    </row>
    <row r="43" spans="1:46" ht="13.5" customHeight="1">
      <c r="A43" s="1439"/>
      <c r="B43" s="1440"/>
      <c r="C43" s="1439" t="s">
        <v>361</v>
      </c>
      <c r="D43" s="1442">
        <v>3775954.2</v>
      </c>
      <c r="E43" s="1456">
        <v>39721</v>
      </c>
      <c r="F43" s="1456">
        <v>39592</v>
      </c>
      <c r="G43" s="1439">
        <v>6552</v>
      </c>
      <c r="H43" s="1439" t="s">
        <v>313</v>
      </c>
      <c r="I43" s="1439">
        <v>68</v>
      </c>
      <c r="J43" s="1439"/>
      <c r="K43" s="1441" t="s">
        <v>358</v>
      </c>
      <c r="L43" s="1442"/>
      <c r="M43" s="1471"/>
      <c r="N43" s="1485"/>
      <c r="O43" s="1443">
        <v>62932.57</v>
      </c>
      <c r="P43" s="1442"/>
      <c r="Q43" s="1442"/>
      <c r="R43" s="1358"/>
      <c r="S43" s="1358"/>
      <c r="T43" s="1439"/>
      <c r="U43" s="1456"/>
      <c r="V43" s="1358"/>
      <c r="W43" s="1358">
        <f>3775954.2+78539.85+24738.79+7604.25+173.39+10232.59+23251.91+5619.73+9480.61+14186.46+8182.61+2845.56+8755.56+11144.03+262.66+1197.86+2033.21+16202.05+5560.7+7195.67+2471.24+2486.13+4628.52+13505.15+9543.6+19408.99+6757.24+4986.74+7089.86+5588+6110.35+11839.87+70890.09+15860.45+33103.29+23314.04+46575.66+135361.99+50707.73+71631.77+23061.07+20987.72+34755.42+17407.43+41661.57+21685.01+20774.17+59484.73+34752.18+10524.36+17640.12+21591.4+27594.09+5036.12+16762.93+8248.89+10667.63+29614.58+46209.56+25318.24+21197.29+11955.38+7196.83+34344.8+26996.46+25631.04+32732.39+34992.78+33981.79+24585.79+11037.25+78223.97+75854.42+8422.18+23748.02+34755.94+12228.85+49323.82+34514.56+19897.03+39367.8+22482.2+2479.35+11813.22+533286.17+21511.69+13829+65203.53+37175.48+8619.39+7014.74+13739.86+38048.3+9079.49+37097.97+219.24-2349.94</f>
        <v>6509037.7000000002</v>
      </c>
      <c r="X43" s="1358"/>
      <c r="Y43" s="1358"/>
      <c r="AB43" s="1422"/>
      <c r="AC43" s="1422"/>
      <c r="AE43" s="1423">
        <f>O43</f>
        <v>62932.57</v>
      </c>
      <c r="AF43" s="1414">
        <f t="shared" si="4"/>
        <v>4.2393081233194081E-2</v>
      </c>
      <c r="AG43" s="1492">
        <f t="shared" si="5"/>
        <v>-2349.9434532579103</v>
      </c>
      <c r="AH43" s="1493"/>
      <c r="AI43" s="1423"/>
      <c r="AJ43" s="1423"/>
      <c r="AK43" s="1448" t="s">
        <v>6019</v>
      </c>
      <c r="AL43" s="1454" t="s">
        <v>5413</v>
      </c>
      <c r="AM43" s="1454" t="s">
        <v>376</v>
      </c>
      <c r="AN43" s="1483" t="s">
        <v>5409</v>
      </c>
      <c r="AO43" s="1483" t="s">
        <v>5409</v>
      </c>
      <c r="AP43" s="1483" t="s">
        <v>5399</v>
      </c>
      <c r="AQ43" s="1484">
        <v>62932.57</v>
      </c>
      <c r="AR43" s="1453" t="s">
        <v>5400</v>
      </c>
      <c r="AS43" s="1453" t="s">
        <v>5401</v>
      </c>
      <c r="AT43" s="1451" t="s">
        <v>5381</v>
      </c>
    </row>
    <row r="44" spans="1:46" ht="13.5" customHeight="1">
      <c r="A44" s="1439" t="s">
        <v>4124</v>
      </c>
      <c r="B44" s="1440" t="s">
        <v>4125</v>
      </c>
      <c r="C44" s="1439" t="s">
        <v>4126</v>
      </c>
      <c r="D44" s="1442"/>
      <c r="E44" s="1456"/>
      <c r="F44" s="1456"/>
      <c r="G44" s="1439"/>
      <c r="H44" s="1439"/>
      <c r="I44" s="1439"/>
      <c r="J44" s="1439"/>
      <c r="K44" s="1441"/>
      <c r="L44" s="1442"/>
      <c r="M44" s="1471"/>
      <c r="N44" s="1485"/>
      <c r="O44" s="1443">
        <v>1933.46</v>
      </c>
      <c r="P44" s="1442"/>
      <c r="Q44" s="1442"/>
      <c r="R44" s="1358"/>
      <c r="S44" s="1358"/>
      <c r="T44" s="1439"/>
      <c r="U44" s="1456"/>
      <c r="V44" s="1358"/>
      <c r="W44" s="1358">
        <f>26706+35683.27+660.9+424.86+2003.23+1142.13+264.81+215.51+422.13+1168.95+278.95+1139.75+6.74-72.2</f>
        <v>70045.03</v>
      </c>
      <c r="X44" s="1358"/>
      <c r="Y44" s="1358"/>
      <c r="AB44" s="1422"/>
      <c r="AC44" s="1422"/>
      <c r="AE44" s="1423">
        <f>O44</f>
        <v>1933.46</v>
      </c>
      <c r="AF44" s="1414">
        <f>(AE44*$AF$29)/$AE$28</f>
        <v>1.302430948571327E-3</v>
      </c>
      <c r="AG44" s="1481">
        <f>AF44*$AG$27</f>
        <v>-72.196664924633453</v>
      </c>
      <c r="AH44" s="1416"/>
      <c r="AI44" s="1423"/>
      <c r="AJ44" s="1423"/>
      <c r="AK44" s="1448" t="s">
        <v>6020</v>
      </c>
      <c r="AL44" s="1454"/>
      <c r="AM44" s="1454"/>
      <c r="AN44" s="1483"/>
      <c r="AO44" s="1483"/>
      <c r="AP44" s="1483"/>
      <c r="AQ44" s="1484"/>
      <c r="AR44" s="1453"/>
      <c r="AS44" s="1453"/>
      <c r="AT44" s="1451"/>
    </row>
    <row r="45" spans="1:46" ht="13.5" customHeight="1">
      <c r="A45" s="1439"/>
      <c r="B45" s="1440" t="s">
        <v>4125</v>
      </c>
      <c r="C45" s="1439" t="s">
        <v>4126</v>
      </c>
      <c r="D45" s="1442"/>
      <c r="E45" s="1456"/>
      <c r="F45" s="1456"/>
      <c r="G45" s="1439"/>
      <c r="H45" s="1439"/>
      <c r="I45" s="1439"/>
      <c r="J45" s="1439"/>
      <c r="K45" s="1441"/>
      <c r="L45" s="1442"/>
      <c r="M45" s="1471"/>
      <c r="N45" s="1485"/>
      <c r="O45" s="1443">
        <v>7454.94</v>
      </c>
      <c r="P45" s="1442"/>
      <c r="Q45" s="1442"/>
      <c r="R45" s="1358"/>
      <c r="S45" s="1358"/>
      <c r="T45" s="1439"/>
      <c r="U45" s="1456"/>
      <c r="V45" s="1358"/>
      <c r="W45" s="1358">
        <f>4479726+134237.08+2548.26+1638.17+7723.96+4403.78+1021.05+830.96+1627.61+4507.17+1075.55+4394.59+25.97-278.37</f>
        <v>4643481.7799999993</v>
      </c>
      <c r="X45" s="1358"/>
      <c r="Y45" s="1358"/>
      <c r="AB45" s="1422"/>
      <c r="AC45" s="1422"/>
      <c r="AE45" s="1423">
        <f>O45</f>
        <v>7454.94</v>
      </c>
      <c r="AF45" s="1414">
        <f>(AE45*$AF$29)/$AE$28</f>
        <v>5.0218492111253022E-3</v>
      </c>
      <c r="AG45" s="1481">
        <f>AF45*$AG$27</f>
        <v>-278.37235071490841</v>
      </c>
      <c r="AH45" s="1416"/>
      <c r="AI45" s="1423"/>
      <c r="AJ45" s="1423"/>
      <c r="AK45" s="1448" t="s">
        <v>6021</v>
      </c>
      <c r="AL45" s="1454"/>
      <c r="AM45" s="1454"/>
      <c r="AN45" s="1483"/>
      <c r="AO45" s="1483"/>
      <c r="AP45" s="1483"/>
      <c r="AQ45" s="1484"/>
      <c r="AR45" s="1453"/>
      <c r="AS45" s="1453"/>
      <c r="AT45" s="1451"/>
    </row>
    <row r="46" spans="1:46" ht="13.5" customHeight="1">
      <c r="A46" s="1439"/>
      <c r="B46" s="1440"/>
      <c r="C46" s="1439"/>
      <c r="D46" s="1442"/>
      <c r="E46" s="1456"/>
      <c r="F46" s="1456"/>
      <c r="G46" s="1439"/>
      <c r="H46" s="1439"/>
      <c r="I46" s="1439"/>
      <c r="J46" s="1439"/>
      <c r="K46" s="1441"/>
      <c r="L46" s="1442"/>
      <c r="M46" s="1471"/>
      <c r="N46" s="1485"/>
      <c r="O46" s="1443"/>
      <c r="P46" s="1442"/>
      <c r="Q46" s="1442"/>
      <c r="R46" s="1358"/>
      <c r="S46" s="1358"/>
      <c r="T46" s="1439"/>
      <c r="U46" s="1456"/>
      <c r="V46" s="1358"/>
      <c r="W46" s="1358"/>
      <c r="X46" s="1358"/>
      <c r="Y46" s="1358"/>
      <c r="AB46" s="1422"/>
      <c r="AC46" s="1422"/>
      <c r="AE46" s="1423"/>
      <c r="AG46" s="1423"/>
      <c r="AH46" s="1416"/>
      <c r="AK46" s="1448"/>
      <c r="AL46" s="1454"/>
      <c r="AM46" s="1454"/>
      <c r="AN46" s="1483"/>
      <c r="AO46" s="1483"/>
      <c r="AP46" s="1483"/>
      <c r="AQ46" s="1484"/>
      <c r="AR46" s="1453"/>
      <c r="AS46" s="1453"/>
      <c r="AT46" s="1451"/>
    </row>
    <row r="47" spans="1:46" ht="13.5" customHeight="1">
      <c r="A47" s="1439"/>
      <c r="B47" s="1440"/>
      <c r="C47" s="1439"/>
      <c r="D47" s="1442"/>
      <c r="E47" s="1456"/>
      <c r="F47" s="1456"/>
      <c r="G47" s="1439"/>
      <c r="H47" s="1439"/>
      <c r="I47" s="1439"/>
      <c r="J47" s="1439"/>
      <c r="K47" s="1441"/>
      <c r="L47" s="1442"/>
      <c r="M47" s="1471"/>
      <c r="N47" s="1494">
        <f>SUM(N30:N46)</f>
        <v>314885.09499999997</v>
      </c>
      <c r="O47" s="1494">
        <f t="shared" ref="O47:Y47" si="7">SUM(O30:O46)</f>
        <v>1169615.8700000001</v>
      </c>
      <c r="P47" s="1494">
        <f t="shared" si="7"/>
        <v>44029349.770000003</v>
      </c>
      <c r="Q47" s="1494">
        <f t="shared" si="7"/>
        <v>664580.55700000003</v>
      </c>
      <c r="R47" s="1494">
        <f t="shared" si="7"/>
        <v>80733209.725460008</v>
      </c>
      <c r="S47" s="1494">
        <f t="shared" si="7"/>
        <v>529.09786880280308</v>
      </c>
      <c r="T47" s="1494">
        <f t="shared" si="7"/>
        <v>0</v>
      </c>
      <c r="U47" s="1494">
        <f t="shared" si="7"/>
        <v>345964</v>
      </c>
      <c r="V47" s="1494">
        <f t="shared" si="7"/>
        <v>377041.65545999998</v>
      </c>
      <c r="W47" s="1494">
        <f t="shared" si="7"/>
        <v>119147536.01092917</v>
      </c>
      <c r="X47" s="1494">
        <f t="shared" si="7"/>
        <v>0</v>
      </c>
      <c r="Y47" s="1494">
        <f t="shared" si="7"/>
        <v>32333748.030000009</v>
      </c>
      <c r="AB47" s="1422"/>
      <c r="AC47" s="1422"/>
      <c r="AE47" s="1423"/>
      <c r="AG47" s="1423"/>
      <c r="AH47" s="1416"/>
      <c r="AK47" s="1448"/>
      <c r="AL47" s="1454"/>
      <c r="AM47" s="1454"/>
      <c r="AN47" s="1483"/>
      <c r="AO47" s="1483"/>
      <c r="AP47" s="1483"/>
      <c r="AQ47" s="1484"/>
      <c r="AR47" s="1453"/>
      <c r="AS47" s="1453"/>
      <c r="AT47" s="1451"/>
    </row>
    <row r="48" spans="1:46" ht="13.5" customHeight="1">
      <c r="A48" s="1439"/>
      <c r="B48" s="1440"/>
      <c r="C48" s="1439"/>
      <c r="D48" s="1442"/>
      <c r="E48" s="1456"/>
      <c r="F48" s="1456"/>
      <c r="G48" s="1439"/>
      <c r="H48" s="1439"/>
      <c r="I48" s="1439"/>
      <c r="J48" s="1439"/>
      <c r="K48" s="1441"/>
      <c r="L48" s="1442"/>
      <c r="M48" s="1471"/>
      <c r="N48" s="1485"/>
      <c r="O48" s="1443"/>
      <c r="P48" s="1442"/>
      <c r="Q48" s="1442"/>
      <c r="R48" s="1358"/>
      <c r="S48" s="1358"/>
      <c r="T48" s="1439"/>
      <c r="U48" s="1456"/>
      <c r="V48" s="1358"/>
      <c r="W48" s="1358"/>
      <c r="X48" s="1358"/>
      <c r="Y48" s="1358"/>
      <c r="AB48" s="1422"/>
      <c r="AC48" s="1422"/>
      <c r="AE48" s="1423"/>
      <c r="AG48" s="1423"/>
      <c r="AH48" s="1416"/>
      <c r="AK48" s="1448"/>
      <c r="AL48" s="1454"/>
      <c r="AM48" s="1454"/>
      <c r="AN48" s="1483"/>
      <c r="AO48" s="1483"/>
      <c r="AP48" s="1483"/>
      <c r="AQ48" s="1484"/>
      <c r="AR48" s="1453"/>
      <c r="AS48" s="1453"/>
      <c r="AT48" s="1451"/>
    </row>
    <row r="49" spans="1:46" ht="11.25">
      <c r="A49" s="1971" t="s">
        <v>362</v>
      </c>
      <c r="B49" s="1972"/>
      <c r="C49" s="1972"/>
      <c r="D49" s="1972"/>
      <c r="E49" s="1972"/>
      <c r="F49" s="1972"/>
      <c r="G49" s="1972"/>
      <c r="H49" s="1972"/>
      <c r="I49" s="1972"/>
      <c r="J49" s="1972"/>
      <c r="K49" s="1972"/>
      <c r="L49" s="1972"/>
      <c r="M49" s="1972"/>
      <c r="N49" s="1972"/>
      <c r="O49" s="1973"/>
      <c r="P49" s="1417"/>
      <c r="Q49" s="1418"/>
      <c r="R49" s="1419"/>
      <c r="S49" s="1420"/>
      <c r="T49" s="1421"/>
      <c r="U49" s="1419"/>
      <c r="V49" s="1375"/>
      <c r="W49" s="1376"/>
      <c r="X49" s="1376"/>
      <c r="Y49" s="1377"/>
      <c r="AB49" s="1422"/>
      <c r="AC49" s="1422"/>
      <c r="AG49" s="1423">
        <v>711983.22</v>
      </c>
      <c r="AK49" s="1448"/>
      <c r="AL49" s="1454"/>
      <c r="AM49" s="1454"/>
      <c r="AN49" s="1483"/>
      <c r="AO49" s="1483"/>
      <c r="AP49" s="1483"/>
      <c r="AQ49" s="1484"/>
      <c r="AR49" s="1453"/>
      <c r="AS49" s="1453"/>
      <c r="AT49" s="1451"/>
    </row>
    <row r="50" spans="1:46">
      <c r="A50" s="1424"/>
      <c r="B50" s="1425"/>
      <c r="C50" s="1426" t="s">
        <v>256</v>
      </c>
      <c r="D50" s="1426" t="s">
        <v>257</v>
      </c>
      <c r="E50" s="1427" t="s">
        <v>258</v>
      </c>
      <c r="F50" s="1427" t="s">
        <v>259</v>
      </c>
      <c r="G50" s="1427" t="s">
        <v>260</v>
      </c>
      <c r="H50" s="1427" t="s">
        <v>261</v>
      </c>
      <c r="I50" s="1427" t="s">
        <v>262</v>
      </c>
      <c r="J50" s="1427" t="s">
        <v>263</v>
      </c>
      <c r="K50" s="1974" t="s">
        <v>264</v>
      </c>
      <c r="L50" s="1975"/>
      <c r="M50" s="1975"/>
      <c r="N50" s="1975" t="s">
        <v>265</v>
      </c>
      <c r="O50" s="1976"/>
      <c r="P50" s="1475"/>
      <c r="Q50" s="1476"/>
      <c r="R50" s="1430" t="s">
        <v>266</v>
      </c>
      <c r="S50" s="1430" t="s">
        <v>267</v>
      </c>
      <c r="T50" s="1430"/>
      <c r="U50" s="1430"/>
      <c r="V50" s="1977" t="s">
        <v>268</v>
      </c>
      <c r="W50" s="1978"/>
      <c r="X50" s="1978"/>
      <c r="Y50" s="1979"/>
      <c r="AB50" s="1422"/>
      <c r="AC50" s="1422"/>
      <c r="AE50" s="1429">
        <f>SUM(AE52:AE82)</f>
        <v>2115010.2677968475</v>
      </c>
    </row>
    <row r="51" spans="1:46">
      <c r="A51" s="1436" t="s">
        <v>269</v>
      </c>
      <c r="B51" s="1430" t="s">
        <v>270</v>
      </c>
      <c r="C51" s="1436" t="s">
        <v>271</v>
      </c>
      <c r="D51" s="1436"/>
      <c r="E51" s="1436"/>
      <c r="F51" s="1436"/>
      <c r="G51" s="1436"/>
      <c r="H51" s="1436"/>
      <c r="I51" s="1436"/>
      <c r="J51" s="1436"/>
      <c r="K51" s="1430" t="s">
        <v>272</v>
      </c>
      <c r="L51" s="1429" t="s">
        <v>273</v>
      </c>
      <c r="M51" s="1430" t="s">
        <v>274</v>
      </c>
      <c r="N51" s="1430" t="s">
        <v>275</v>
      </c>
      <c r="O51" s="1430" t="s">
        <v>276</v>
      </c>
      <c r="P51" s="1437" t="s">
        <v>277</v>
      </c>
      <c r="Q51" s="1437" t="s">
        <v>278</v>
      </c>
      <c r="R51" s="1438" t="s">
        <v>279</v>
      </c>
      <c r="S51" s="1438" t="s">
        <v>280</v>
      </c>
      <c r="T51" s="1438" t="s">
        <v>281</v>
      </c>
      <c r="U51" s="1438" t="s">
        <v>282</v>
      </c>
      <c r="V51" s="1378" t="s">
        <v>283</v>
      </c>
      <c r="W51" s="1378" t="s">
        <v>284</v>
      </c>
      <c r="X51" s="1378" t="s">
        <v>285</v>
      </c>
      <c r="Y51" s="1378" t="s">
        <v>286</v>
      </c>
      <c r="AB51" s="1422"/>
      <c r="AC51" s="1422"/>
      <c r="AE51" s="1438" t="s">
        <v>280</v>
      </c>
      <c r="AF51" s="1432">
        <v>1</v>
      </c>
      <c r="AG51" s="1414" t="s">
        <v>287</v>
      </c>
    </row>
    <row r="52" spans="1:46" ht="13.5" customHeight="1">
      <c r="A52" s="1439"/>
      <c r="B52" s="1440"/>
      <c r="C52" s="1439" t="s">
        <v>363</v>
      </c>
      <c r="D52" s="1442">
        <v>94903519</v>
      </c>
      <c r="E52" s="1439"/>
      <c r="F52" s="1456">
        <v>38707</v>
      </c>
      <c r="G52" s="1439">
        <v>4116</v>
      </c>
      <c r="H52" s="1439" t="s">
        <v>313</v>
      </c>
      <c r="I52" s="1439">
        <v>74</v>
      </c>
      <c r="J52" s="1439"/>
      <c r="K52" s="1441" t="s">
        <v>364</v>
      </c>
      <c r="L52" s="1442">
        <v>2108967.1</v>
      </c>
      <c r="M52" s="1471"/>
      <c r="N52" s="1485"/>
      <c r="O52" s="1443">
        <f>+L52</f>
        <v>2108967.1</v>
      </c>
      <c r="P52" s="1442"/>
      <c r="Q52" s="1442"/>
      <c r="R52" s="1358"/>
      <c r="S52" s="1358"/>
      <c r="T52" s="1439"/>
      <c r="U52" s="1456"/>
      <c r="V52" s="1358"/>
      <c r="W52" s="1358">
        <f>94903519+226292.5+20594.8+407733.26+146373.56+13050.19+13050.19+22924.94+277755.83+342201.31+206272.06+33048.24+130875.77+34263.79+406698.68+34329.87+111484.46+705236.87-28028.83+28496.39+24319.49+80676.15-2100000+120996.75+76588.77+2985.81+87092.39-6475.99+208829.02+100376.88+208278.42+180179.59+221071.53+131006.54+346367.19+118411.36+366873.03+398677.06+127558.96+198212.01+73647.41+146544.89+161581.63+85627.39+79262.04+250693.49+111944.06+85440.51+128554.95+74388.72+829035.02+546563.6+254830.25+5810.45+342909.86+779207.2+188325.82+317709.75+475409.92+274211.77+95359.2+293412.41+373453.57+8802.2+40141.98+68136+542955.44+186347.59+241137.86+82814.99+83314+155108.95+452578.43+319820.54+650425.09+226445.33+167113.23+237591.94+187262.32+204767.2+396772.08</f>
        <v>109153656.92000002</v>
      </c>
      <c r="X52" s="1358"/>
      <c r="Y52" s="1358"/>
      <c r="AB52" s="1422"/>
      <c r="AC52" s="1422"/>
      <c r="AE52" s="1423">
        <f>O52</f>
        <v>2108967.1</v>
      </c>
      <c r="AF52" s="1414">
        <f>(AE52*$AF$29)/$AE$28</f>
        <v>1.4206572779156128</v>
      </c>
      <c r="AG52" s="1481">
        <f>AF52*$AG$27</f>
        <v>-78750.21518716494</v>
      </c>
      <c r="AH52" s="1482"/>
      <c r="AI52" s="1423"/>
      <c r="AJ52" s="1423"/>
      <c r="AK52" s="1495" t="s">
        <v>6022</v>
      </c>
      <c r="AL52" s="1454" t="s">
        <v>5408</v>
      </c>
      <c r="AM52" s="1454" t="s">
        <v>376</v>
      </c>
      <c r="AN52" s="1453" t="s">
        <v>5414</v>
      </c>
      <c r="AO52" s="1453" t="s">
        <v>5414</v>
      </c>
      <c r="AP52" s="1453" t="s">
        <v>5399</v>
      </c>
      <c r="AQ52" s="1452">
        <v>2108967.1</v>
      </c>
      <c r="AR52" s="1453" t="s">
        <v>5415</v>
      </c>
      <c r="AS52" s="1453" t="s">
        <v>5416</v>
      </c>
      <c r="AT52" s="1451" t="s">
        <v>5381</v>
      </c>
    </row>
    <row r="53" spans="1:46" ht="13.5" hidden="1" customHeight="1">
      <c r="A53" s="1439"/>
      <c r="B53" s="1440"/>
      <c r="C53" s="1439"/>
      <c r="D53" s="1442"/>
      <c r="E53" s="1456"/>
      <c r="F53" s="1456"/>
      <c r="G53" s="1439"/>
      <c r="H53" s="1439"/>
      <c r="I53" s="1439"/>
      <c r="J53" s="1439"/>
      <c r="K53" s="1441"/>
      <c r="L53" s="1442"/>
      <c r="M53" s="1471"/>
      <c r="N53" s="1485"/>
      <c r="O53" s="1443"/>
      <c r="P53" s="1442"/>
      <c r="Q53" s="1442"/>
      <c r="R53" s="1358"/>
      <c r="S53" s="1358"/>
      <c r="T53" s="1439"/>
      <c r="U53" s="1456"/>
      <c r="V53" s="1358"/>
      <c r="W53" s="1358"/>
      <c r="X53" s="1358"/>
      <c r="Y53" s="1358"/>
      <c r="AB53" s="1422"/>
      <c r="AC53" s="1422"/>
      <c r="AE53" s="1423"/>
      <c r="AG53" s="1423"/>
      <c r="AH53" s="1416"/>
      <c r="AK53" s="1495"/>
      <c r="AL53" s="1454"/>
      <c r="AM53" s="1454"/>
      <c r="AN53" s="1453"/>
      <c r="AO53" s="1453"/>
      <c r="AP53" s="1453"/>
      <c r="AQ53" s="1452"/>
      <c r="AR53" s="1453"/>
      <c r="AS53" s="1453"/>
      <c r="AT53" s="1451"/>
    </row>
    <row r="54" spans="1:46" ht="13.5" customHeight="1">
      <c r="A54" s="1439"/>
      <c r="B54" s="1440"/>
      <c r="C54" s="1439"/>
      <c r="D54" s="1442"/>
      <c r="E54" s="1456"/>
      <c r="F54" s="1456"/>
      <c r="G54" s="1439"/>
      <c r="H54" s="1439"/>
      <c r="I54" s="1439"/>
      <c r="J54" s="1439"/>
      <c r="K54" s="1441"/>
      <c r="L54" s="1442"/>
      <c r="M54" s="1471"/>
      <c r="N54" s="1494">
        <f>SUM(N52:N53)</f>
        <v>0</v>
      </c>
      <c r="O54" s="1494">
        <f t="shared" ref="O54:Y54" si="8">SUM(O52:O53)</f>
        <v>2108967.1</v>
      </c>
      <c r="P54" s="1494">
        <f t="shared" si="8"/>
        <v>0</v>
      </c>
      <c r="Q54" s="1494">
        <f t="shared" si="8"/>
        <v>0</v>
      </c>
      <c r="R54" s="1494">
        <f t="shared" si="8"/>
        <v>0</v>
      </c>
      <c r="S54" s="1494">
        <f t="shared" si="8"/>
        <v>0</v>
      </c>
      <c r="T54" s="1494">
        <f t="shared" si="8"/>
        <v>0</v>
      </c>
      <c r="U54" s="1494">
        <f t="shared" si="8"/>
        <v>0</v>
      </c>
      <c r="V54" s="1494">
        <f t="shared" si="8"/>
        <v>0</v>
      </c>
      <c r="W54" s="1494">
        <f t="shared" si="8"/>
        <v>109153656.92000002</v>
      </c>
      <c r="X54" s="1494">
        <f t="shared" si="8"/>
        <v>0</v>
      </c>
      <c r="Y54" s="1494">
        <f t="shared" si="8"/>
        <v>0</v>
      </c>
      <c r="AB54" s="1422"/>
      <c r="AC54" s="1422"/>
      <c r="AE54" s="1423"/>
      <c r="AG54" s="1423"/>
      <c r="AH54" s="1416"/>
      <c r="AK54" s="1495"/>
      <c r="AL54" s="1454"/>
      <c r="AM54" s="1454"/>
      <c r="AN54" s="1453"/>
      <c r="AO54" s="1453"/>
      <c r="AP54" s="1453"/>
      <c r="AQ54" s="1452"/>
      <c r="AR54" s="1453"/>
      <c r="AS54" s="1453"/>
      <c r="AT54" s="1451"/>
    </row>
    <row r="55" spans="1:46" ht="13.5" hidden="1" customHeight="1">
      <c r="A55" s="1439"/>
      <c r="B55" s="1440"/>
      <c r="C55" s="1439"/>
      <c r="D55" s="1442"/>
      <c r="E55" s="1456"/>
      <c r="F55" s="1456"/>
      <c r="G55" s="1439"/>
      <c r="H55" s="1439"/>
      <c r="I55" s="1439"/>
      <c r="J55" s="1439"/>
      <c r="K55" s="1441"/>
      <c r="L55" s="1442"/>
      <c r="M55" s="1471"/>
      <c r="N55" s="1485"/>
      <c r="O55" s="1443"/>
      <c r="P55" s="1442"/>
      <c r="Q55" s="1442"/>
      <c r="R55" s="1358"/>
      <c r="S55" s="1358"/>
      <c r="T55" s="1439"/>
      <c r="U55" s="1456"/>
      <c r="V55" s="1358"/>
      <c r="W55" s="1358"/>
      <c r="X55" s="1358"/>
      <c r="Y55" s="1358"/>
      <c r="AB55" s="1422"/>
      <c r="AC55" s="1422"/>
      <c r="AE55" s="1414">
        <v>0</v>
      </c>
      <c r="AF55" s="1414">
        <f t="shared" si="4"/>
        <v>0</v>
      </c>
      <c r="AG55" s="1414">
        <f t="shared" si="5"/>
        <v>0</v>
      </c>
      <c r="AK55" s="1495"/>
      <c r="AL55" s="1454"/>
      <c r="AM55" s="1454"/>
      <c r="AN55" s="1453"/>
      <c r="AO55" s="1453"/>
      <c r="AP55" s="1453"/>
      <c r="AQ55" s="1452"/>
      <c r="AR55" s="1453"/>
      <c r="AS55" s="1453"/>
      <c r="AT55" s="1451"/>
    </row>
    <row r="56" spans="1:46" ht="13.5" customHeight="1">
      <c r="A56" s="1439"/>
      <c r="B56" s="1440"/>
      <c r="C56" s="1496" t="s">
        <v>334</v>
      </c>
      <c r="D56" s="1496"/>
      <c r="E56" s="1496"/>
      <c r="F56" s="1496"/>
      <c r="G56" s="1496"/>
      <c r="H56" s="1496"/>
      <c r="I56" s="1496"/>
      <c r="J56" s="1496"/>
      <c r="K56" s="1472" t="s">
        <v>98</v>
      </c>
      <c r="L56" s="1455">
        <f>SUM(L30:L55)</f>
        <v>4035989.7370000002</v>
      </c>
      <c r="M56" s="1455">
        <f>SUM(M30:M55)</f>
        <v>4119.6980000000003</v>
      </c>
      <c r="N56" s="1455">
        <f>N47+N54</f>
        <v>314885.09499999997</v>
      </c>
      <c r="O56" s="1455">
        <f t="shared" ref="O56:Y56" si="9">O47+O54</f>
        <v>3278582.97</v>
      </c>
      <c r="P56" s="1455">
        <f t="shared" si="9"/>
        <v>44029349.770000003</v>
      </c>
      <c r="Q56" s="1455">
        <f t="shared" si="9"/>
        <v>664580.55700000003</v>
      </c>
      <c r="R56" s="1455">
        <f t="shared" si="9"/>
        <v>80733209.725460008</v>
      </c>
      <c r="S56" s="1455">
        <f t="shared" si="9"/>
        <v>529.09786880280308</v>
      </c>
      <c r="T56" s="1455">
        <f t="shared" si="9"/>
        <v>0</v>
      </c>
      <c r="U56" s="1455">
        <f t="shared" si="9"/>
        <v>345964</v>
      </c>
      <c r="V56" s="1455">
        <f t="shared" si="9"/>
        <v>377041.65545999998</v>
      </c>
      <c r="W56" s="1455">
        <f t="shared" si="9"/>
        <v>228301192.93092918</v>
      </c>
      <c r="X56" s="1455">
        <f t="shared" si="9"/>
        <v>0</v>
      </c>
      <c r="Y56" s="1455">
        <f t="shared" si="9"/>
        <v>32333748.030000009</v>
      </c>
      <c r="AB56" s="1422"/>
      <c r="AC56" s="1422"/>
      <c r="AK56" s="1495"/>
      <c r="AL56" s="1454"/>
      <c r="AM56" s="1454"/>
      <c r="AN56" s="1453"/>
      <c r="AO56" s="1453"/>
      <c r="AP56" s="1453"/>
      <c r="AQ56" s="1452"/>
      <c r="AR56" s="1453"/>
      <c r="AS56" s="1453"/>
      <c r="AT56" s="1451"/>
    </row>
    <row r="57" spans="1:46" ht="13.5" customHeight="1">
      <c r="B57" s="1497"/>
      <c r="C57" s="1498"/>
      <c r="D57" s="1498"/>
      <c r="E57" s="1498"/>
      <c r="F57" s="1498"/>
      <c r="G57" s="1498"/>
      <c r="H57" s="1498"/>
      <c r="I57" s="1498"/>
      <c r="J57" s="1498"/>
      <c r="K57" s="1468" t="s">
        <v>365</v>
      </c>
      <c r="L57" s="1499">
        <f>L21+L26+L56</f>
        <v>4159628.9670000002</v>
      </c>
      <c r="M57" s="1499">
        <f>M21+M26+M56</f>
        <v>51601.668000000005</v>
      </c>
      <c r="N57" s="1499">
        <f>N21+N26+N56</f>
        <v>377090.255</v>
      </c>
      <c r="O57" s="1499">
        <f>O21+O26+O56</f>
        <v>3278582.97</v>
      </c>
      <c r="P57" s="1499"/>
      <c r="Q57" s="1499"/>
      <c r="R57" s="1499"/>
      <c r="S57" s="1499"/>
      <c r="T57" s="1499">
        <f t="shared" ref="T57:Y57" si="10">T21+T26+T56</f>
        <v>0</v>
      </c>
      <c r="U57" s="1499">
        <f t="shared" si="10"/>
        <v>731494</v>
      </c>
      <c r="V57" s="1499">
        <f t="shared" si="10"/>
        <v>54457519.715460002</v>
      </c>
      <c r="W57" s="1499">
        <f t="shared" si="10"/>
        <v>228301192.93092918</v>
      </c>
      <c r="X57" s="1499">
        <f t="shared" si="10"/>
        <v>0</v>
      </c>
      <c r="Y57" s="1499">
        <f t="shared" si="10"/>
        <v>54357547.687018044</v>
      </c>
      <c r="AB57" s="1422"/>
      <c r="AC57" s="1422"/>
      <c r="AK57" s="1495"/>
      <c r="AL57" s="1454"/>
      <c r="AM57" s="1454"/>
      <c r="AN57" s="1453"/>
      <c r="AO57" s="1453"/>
      <c r="AP57" s="1453"/>
      <c r="AQ57" s="1452"/>
      <c r="AR57" s="1453"/>
      <c r="AS57" s="1453"/>
      <c r="AT57" s="1451"/>
    </row>
    <row r="58" spans="1:46" ht="13.5" hidden="1" customHeight="1">
      <c r="B58" s="1497"/>
      <c r="C58" s="1498"/>
      <c r="D58" s="1498"/>
      <c r="E58" s="1498"/>
      <c r="F58" s="1498"/>
      <c r="G58" s="1498"/>
      <c r="H58" s="1498"/>
      <c r="I58" s="1498"/>
      <c r="J58" s="1498"/>
      <c r="K58" s="1468"/>
      <c r="L58" s="1499"/>
      <c r="M58" s="1499"/>
      <c r="N58" s="1499"/>
      <c r="O58" s="1499"/>
      <c r="P58" s="1499"/>
      <c r="Q58" s="1499"/>
      <c r="R58" s="1499"/>
      <c r="S58" s="1499"/>
      <c r="T58" s="1499"/>
      <c r="U58" s="1499"/>
      <c r="V58" s="1499"/>
      <c r="W58" s="1499"/>
      <c r="X58" s="1499"/>
      <c r="Y58" s="1499"/>
      <c r="AB58" s="1422"/>
      <c r="AC58" s="1422"/>
      <c r="AK58" s="1495"/>
      <c r="AL58" s="1454"/>
      <c r="AM58" s="1454"/>
      <c r="AN58" s="1453"/>
      <c r="AO58" s="1453"/>
      <c r="AP58" s="1453"/>
      <c r="AQ58" s="1452"/>
      <c r="AR58" s="1453"/>
      <c r="AS58" s="1453"/>
      <c r="AT58" s="1451"/>
    </row>
    <row r="59" spans="1:46" ht="11.25" hidden="1">
      <c r="A59" s="1415"/>
      <c r="B59" s="1415"/>
      <c r="C59" s="1415"/>
      <c r="D59" s="1415"/>
      <c r="E59" s="1415"/>
      <c r="F59" s="1415"/>
      <c r="G59" s="1415"/>
      <c r="H59" s="1415"/>
      <c r="I59" s="1415"/>
      <c r="J59" s="1415"/>
      <c r="K59" s="1416"/>
      <c r="L59" s="1415"/>
      <c r="M59" s="1415"/>
      <c r="N59" s="1415"/>
      <c r="O59" s="1415"/>
      <c r="P59" s="1415"/>
      <c r="Q59" s="1415"/>
      <c r="R59" s="1415"/>
      <c r="W59" s="1373">
        <f>204719088.53-12675.57+819921.76</f>
        <v>205526334.72</v>
      </c>
      <c r="AK59" s="1495"/>
      <c r="AL59" s="1454"/>
      <c r="AM59" s="1454"/>
      <c r="AN59" s="1453"/>
      <c r="AO59" s="1453"/>
      <c r="AP59" s="1453"/>
      <c r="AQ59" s="1452"/>
      <c r="AR59" s="1453"/>
      <c r="AS59" s="1453"/>
      <c r="AT59" s="1451"/>
    </row>
    <row r="60" spans="1:46" ht="11.25">
      <c r="A60" s="1415"/>
      <c r="B60" s="1415"/>
      <c r="C60" s="1415"/>
      <c r="D60" s="1415"/>
      <c r="E60" s="1415"/>
      <c r="F60" s="1415"/>
      <c r="G60" s="1415"/>
      <c r="H60" s="1415"/>
      <c r="I60" s="1415"/>
      <c r="J60" s="1415"/>
      <c r="K60" s="1416"/>
      <c r="L60" s="1415"/>
      <c r="M60" s="1415"/>
      <c r="N60" s="1415"/>
      <c r="O60" s="1415"/>
      <c r="P60" s="1415"/>
      <c r="Q60" s="1415"/>
      <c r="R60" s="1415"/>
      <c r="AF60" s="1423">
        <f>437293.2-148766.49</f>
        <v>288526.71000000002</v>
      </c>
      <c r="AK60" s="1495"/>
      <c r="AL60" s="1454"/>
      <c r="AM60" s="1454"/>
      <c r="AN60" s="1453"/>
      <c r="AO60" s="1453"/>
      <c r="AP60" s="1453"/>
      <c r="AQ60" s="1452"/>
      <c r="AR60" s="1453"/>
      <c r="AS60" s="1453"/>
      <c r="AT60" s="1451"/>
    </row>
    <row r="61" spans="1:46" ht="11.25">
      <c r="A61" s="1971" t="s">
        <v>366</v>
      </c>
      <c r="B61" s="1972"/>
      <c r="C61" s="1972"/>
      <c r="D61" s="1972"/>
      <c r="E61" s="1972"/>
      <c r="F61" s="1972"/>
      <c r="G61" s="1972"/>
      <c r="H61" s="1972"/>
      <c r="I61" s="1972"/>
      <c r="J61" s="1972"/>
      <c r="K61" s="1972"/>
      <c r="L61" s="1972"/>
      <c r="M61" s="1972"/>
      <c r="N61" s="1421"/>
      <c r="O61" s="1419"/>
      <c r="P61" s="1417"/>
      <c r="Q61" s="1418"/>
      <c r="R61" s="1419"/>
      <c r="S61" s="1420"/>
      <c r="T61" s="1421"/>
      <c r="U61" s="1419"/>
      <c r="V61" s="1375"/>
      <c r="W61" s="1376"/>
      <c r="X61" s="1376"/>
      <c r="Y61" s="1377"/>
      <c r="AE61" s="1431">
        <f>SUM(AE64:AE65)</f>
        <v>3006.15</v>
      </c>
      <c r="AK61" s="1495"/>
      <c r="AL61" s="1454"/>
      <c r="AM61" s="1454"/>
      <c r="AN61" s="1453"/>
      <c r="AO61" s="1453"/>
      <c r="AP61" s="1453"/>
      <c r="AQ61" s="1452"/>
      <c r="AR61" s="1453"/>
      <c r="AS61" s="1453"/>
      <c r="AT61" s="1451"/>
    </row>
    <row r="62" spans="1:46" ht="11.25">
      <c r="A62" s="1500"/>
      <c r="B62" s="1501"/>
      <c r="C62" s="1502" t="s">
        <v>256</v>
      </c>
      <c r="D62" s="1426" t="s">
        <v>257</v>
      </c>
      <c r="E62" s="1427" t="s">
        <v>258</v>
      </c>
      <c r="F62" s="1427" t="s">
        <v>259</v>
      </c>
      <c r="G62" s="1427" t="s">
        <v>260</v>
      </c>
      <c r="H62" s="1427" t="s">
        <v>261</v>
      </c>
      <c r="I62" s="1427" t="s">
        <v>262</v>
      </c>
      <c r="J62" s="1427" t="s">
        <v>263</v>
      </c>
      <c r="K62" s="1974" t="s">
        <v>264</v>
      </c>
      <c r="L62" s="1975"/>
      <c r="M62" s="1975"/>
      <c r="N62" s="1975" t="s">
        <v>265</v>
      </c>
      <c r="O62" s="1976"/>
      <c r="P62" s="1475"/>
      <c r="Q62" s="1475"/>
      <c r="R62" s="1430" t="s">
        <v>367</v>
      </c>
      <c r="S62" s="1430" t="s">
        <v>267</v>
      </c>
      <c r="T62" s="1430"/>
      <c r="U62" s="1430"/>
      <c r="V62" s="1977" t="s">
        <v>268</v>
      </c>
      <c r="W62" s="1978"/>
      <c r="X62" s="1978"/>
      <c r="Y62" s="1979"/>
      <c r="AA62" s="1416" t="s">
        <v>368</v>
      </c>
      <c r="AB62" s="1416" t="s">
        <v>369</v>
      </c>
      <c r="AC62" s="1416" t="s">
        <v>369</v>
      </c>
      <c r="AF62" s="1432">
        <v>1</v>
      </c>
      <c r="AK62" s="1495"/>
      <c r="AL62" s="1454"/>
      <c r="AM62" s="1454"/>
      <c r="AN62" s="1453"/>
      <c r="AO62" s="1453"/>
      <c r="AP62" s="1453"/>
      <c r="AQ62" s="1452"/>
      <c r="AR62" s="1453"/>
      <c r="AS62" s="1453"/>
      <c r="AT62" s="1451"/>
    </row>
    <row r="63" spans="1:46" ht="11.25">
      <c r="A63" s="1470" t="s">
        <v>269</v>
      </c>
      <c r="B63" s="1471" t="s">
        <v>270</v>
      </c>
      <c r="C63" s="1470" t="s">
        <v>271</v>
      </c>
      <c r="D63" s="1436"/>
      <c r="E63" s="1436"/>
      <c r="F63" s="1436"/>
      <c r="G63" s="1436"/>
      <c r="H63" s="1436"/>
      <c r="I63" s="1436"/>
      <c r="J63" s="1436"/>
      <c r="K63" s="1436" t="s">
        <v>272</v>
      </c>
      <c r="L63" s="1496" t="s">
        <v>370</v>
      </c>
      <c r="M63" s="1471" t="s">
        <v>274</v>
      </c>
      <c r="N63" s="1471" t="s">
        <v>371</v>
      </c>
      <c r="O63" s="1471" t="s">
        <v>276</v>
      </c>
      <c r="P63" s="1437" t="s">
        <v>277</v>
      </c>
      <c r="Q63" s="1437" t="s">
        <v>278</v>
      </c>
      <c r="R63" s="1438" t="s">
        <v>279</v>
      </c>
      <c r="S63" s="1438" t="s">
        <v>280</v>
      </c>
      <c r="T63" s="1438" t="s">
        <v>281</v>
      </c>
      <c r="U63" s="1438" t="s">
        <v>282</v>
      </c>
      <c r="V63" s="1378" t="s">
        <v>283</v>
      </c>
      <c r="W63" s="1378" t="s">
        <v>284</v>
      </c>
      <c r="X63" s="1378" t="s">
        <v>285</v>
      </c>
      <c r="Y63" s="1378" t="s">
        <v>286</v>
      </c>
      <c r="AB63" s="1422"/>
      <c r="AC63" s="1422"/>
      <c r="AK63" s="1495"/>
      <c r="AL63" s="1454"/>
      <c r="AM63" s="1454"/>
      <c r="AN63" s="1453"/>
      <c r="AO63" s="1453"/>
      <c r="AP63" s="1453"/>
      <c r="AQ63" s="1452"/>
      <c r="AR63" s="1453"/>
      <c r="AS63" s="1453"/>
      <c r="AT63" s="1451"/>
    </row>
    <row r="64" spans="1:46" ht="13.15" customHeight="1">
      <c r="A64" s="1503">
        <v>4</v>
      </c>
      <c r="B64" s="1440">
        <v>3</v>
      </c>
      <c r="C64" s="1439" t="s">
        <v>372</v>
      </c>
      <c r="D64" s="1439"/>
      <c r="E64" s="1439"/>
      <c r="F64" s="1439"/>
      <c r="G64" s="1439"/>
      <c r="H64" s="1439"/>
      <c r="I64" s="1439"/>
      <c r="J64" s="1439"/>
      <c r="K64" s="1442" t="s">
        <v>373</v>
      </c>
      <c r="L64" s="1442"/>
      <c r="M64" s="1442">
        <v>2862.15</v>
      </c>
      <c r="N64" s="1442">
        <f>+M64</f>
        <v>2862.15</v>
      </c>
      <c r="O64" s="1439"/>
      <c r="P64" s="1358">
        <v>1667917.91</v>
      </c>
      <c r="Q64" s="1358">
        <v>2862.15</v>
      </c>
      <c r="R64" s="1358">
        <f>+P64</f>
        <v>1667917.91</v>
      </c>
      <c r="S64" s="1444">
        <f>+P64/Q64</f>
        <v>582.74999912653072</v>
      </c>
      <c r="T64" s="1445" t="s">
        <v>291</v>
      </c>
      <c r="U64" s="1446">
        <v>38581</v>
      </c>
      <c r="V64" s="1358">
        <f>+R64+76171.38+60986.67+364105.94+317430.22+740556.34+352215.4+597738.79+351277.33+39569.04+212604.55-212604.55+1051030.91+818740.95+346286.13+480900.48+1740483+323135.82+147358.31+288363.5+96669.03+1002904.63+249912.34+1184750.25+129054.23+275240.37+419720.56+120102.65+124435.69+224388.03+272009.43+32702.3+274705.76</f>
        <v>14170863.390000001</v>
      </c>
      <c r="W64" s="1358"/>
      <c r="X64" s="1358"/>
      <c r="Y64" s="1358"/>
      <c r="Z64" s="1414" t="s">
        <v>292</v>
      </c>
      <c r="AA64" s="1414" t="s">
        <v>374</v>
      </c>
      <c r="AB64" s="1422"/>
      <c r="AC64" s="1422"/>
      <c r="AE64" s="1431">
        <f>Q64</f>
        <v>2862.15</v>
      </c>
      <c r="AF64" s="1431">
        <f>AE64*AF62/AE61</f>
        <v>0.95209819869267998</v>
      </c>
      <c r="AG64" s="1423">
        <f>AF60*AF64</f>
        <v>274705.76086572529</v>
      </c>
      <c r="AJ64" s="1423"/>
      <c r="AK64" s="1504" t="s">
        <v>6023</v>
      </c>
      <c r="AL64" s="1454" t="s">
        <v>5417</v>
      </c>
      <c r="AM64" s="1454" t="s">
        <v>5418</v>
      </c>
      <c r="AN64" s="1505" t="s">
        <v>5419</v>
      </c>
      <c r="AO64" s="1505" t="s">
        <v>5419</v>
      </c>
      <c r="AP64" s="1483" t="s">
        <v>5365</v>
      </c>
      <c r="AQ64" s="1452">
        <v>2862.15</v>
      </c>
      <c r="AR64" s="1453" t="s">
        <v>5420</v>
      </c>
      <c r="AS64" s="1453" t="s">
        <v>5416</v>
      </c>
      <c r="AT64" s="1451" t="s">
        <v>5381</v>
      </c>
    </row>
    <row r="65" spans="1:46" ht="13.15" customHeight="1">
      <c r="A65" s="1506" t="s">
        <v>375</v>
      </c>
      <c r="B65" s="1440" t="s">
        <v>376</v>
      </c>
      <c r="C65" s="1439" t="s">
        <v>377</v>
      </c>
      <c r="D65" s="1439"/>
      <c r="E65" s="1439"/>
      <c r="F65" s="1439"/>
      <c r="G65" s="1439"/>
      <c r="H65" s="1439"/>
      <c r="I65" s="1439"/>
      <c r="J65" s="1439"/>
      <c r="K65" s="1442" t="s">
        <v>373</v>
      </c>
      <c r="L65" s="1442"/>
      <c r="M65" s="1442">
        <v>144</v>
      </c>
      <c r="N65" s="1442">
        <f>+M65</f>
        <v>144</v>
      </c>
      <c r="O65" s="1439"/>
      <c r="P65" s="1442">
        <v>37800</v>
      </c>
      <c r="Q65" s="1442">
        <v>144</v>
      </c>
      <c r="R65" s="1442">
        <f>+P65</f>
        <v>37800</v>
      </c>
      <c r="S65" s="1444">
        <f>+P65/Q65</f>
        <v>262.5</v>
      </c>
      <c r="T65" s="1445" t="s">
        <v>291</v>
      </c>
      <c r="U65" s="1446">
        <v>38581</v>
      </c>
      <c r="V65" s="1358">
        <f>+R65+3832.32+3068.35+18318.93+15970.49+37258.74+17720.6+30073.33+17673.41+1990.79+10696.52-10696.52+87566.88+16257.55+7413.87+14508.1+4863.6+50457.97+12573.56+59606.95+6492.95+13847.85+21116.91+6042.58+6260.59+11289.37+13685.29+1645.31+13820.95</f>
        <v>531157.23999999987</v>
      </c>
      <c r="W65" s="1358"/>
      <c r="X65" s="1358"/>
      <c r="Y65" s="1358"/>
      <c r="Z65" s="1414" t="s">
        <v>292</v>
      </c>
      <c r="AA65" s="1414" t="s">
        <v>378</v>
      </c>
      <c r="AB65" s="1422"/>
      <c r="AC65" s="1422"/>
      <c r="AE65" s="1431">
        <f>Q65</f>
        <v>144</v>
      </c>
      <c r="AF65" s="1414">
        <f>AE65*AF62/AE61</f>
        <v>4.790180130731999E-2</v>
      </c>
      <c r="AG65" s="1423">
        <f>AF60*AF65</f>
        <v>13820.949134274737</v>
      </c>
      <c r="AJ65" s="1423"/>
      <c r="AK65" s="1448" t="s">
        <v>6024</v>
      </c>
      <c r="AL65" s="1454" t="s">
        <v>5421</v>
      </c>
      <c r="AM65" s="1454" t="s">
        <v>5422</v>
      </c>
      <c r="AN65" s="1453" t="s">
        <v>5419</v>
      </c>
      <c r="AO65" s="1453" t="s">
        <v>5419</v>
      </c>
      <c r="AP65" s="1483" t="s">
        <v>5365</v>
      </c>
      <c r="AQ65" s="1507">
        <v>144</v>
      </c>
      <c r="AR65" s="1453" t="s">
        <v>5423</v>
      </c>
      <c r="AS65" s="1453" t="s">
        <v>5416</v>
      </c>
      <c r="AT65" s="1451" t="s">
        <v>5381</v>
      </c>
    </row>
    <row r="66" spans="1:46" ht="13.15" customHeight="1">
      <c r="A66" s="1439"/>
      <c r="B66" s="1439"/>
      <c r="C66" s="1508" t="s">
        <v>373</v>
      </c>
      <c r="D66" s="1508"/>
      <c r="E66" s="1508"/>
      <c r="F66" s="1508"/>
      <c r="G66" s="1508"/>
      <c r="H66" s="1508"/>
      <c r="I66" s="1508"/>
      <c r="J66" s="1508"/>
      <c r="K66" s="1472" t="s">
        <v>98</v>
      </c>
      <c r="L66" s="1508">
        <f t="shared" ref="L66:Q66" si="11">SUM(L64:L65)</f>
        <v>0</v>
      </c>
      <c r="M66" s="1508">
        <f t="shared" si="11"/>
        <v>3006.15</v>
      </c>
      <c r="N66" s="1508">
        <f t="shared" si="11"/>
        <v>3006.15</v>
      </c>
      <c r="O66" s="1508">
        <f t="shared" si="11"/>
        <v>0</v>
      </c>
      <c r="P66" s="1508">
        <f t="shared" si="11"/>
        <v>1705717.91</v>
      </c>
      <c r="Q66" s="1508">
        <f t="shared" si="11"/>
        <v>3006.15</v>
      </c>
      <c r="R66" s="1508">
        <f>SUM(R64:R65)</f>
        <v>1705717.91</v>
      </c>
      <c r="S66" s="1508"/>
      <c r="T66" s="1508"/>
      <c r="U66" s="1508"/>
      <c r="V66" s="1371">
        <f>SUM(V64:V65)</f>
        <v>14702020.630000001</v>
      </c>
      <c r="W66" s="1371">
        <f>SUM(W64:W65)</f>
        <v>0</v>
      </c>
      <c r="X66" s="1371">
        <f>SUM(X64:X65)</f>
        <v>0</v>
      </c>
      <c r="Y66" s="1371">
        <f>SUM(Y64:Y65)</f>
        <v>0</v>
      </c>
      <c r="AB66" s="1422"/>
      <c r="AC66" s="1422"/>
      <c r="AK66" s="1448"/>
      <c r="AL66" s="1454"/>
      <c r="AM66" s="1454"/>
      <c r="AN66" s="1453"/>
      <c r="AO66" s="1453"/>
      <c r="AP66" s="1483"/>
      <c r="AQ66" s="1507"/>
      <c r="AR66" s="1453"/>
      <c r="AS66" s="1453"/>
      <c r="AT66" s="1451"/>
    </row>
    <row r="67" spans="1:46" ht="11.25">
      <c r="A67" s="1971" t="s">
        <v>379</v>
      </c>
      <c r="B67" s="1972"/>
      <c r="C67" s="1972"/>
      <c r="D67" s="1972"/>
      <c r="E67" s="1972"/>
      <c r="F67" s="1972"/>
      <c r="G67" s="1972"/>
      <c r="H67" s="1972"/>
      <c r="I67" s="1972"/>
      <c r="J67" s="1972"/>
      <c r="K67" s="1972"/>
      <c r="L67" s="1972"/>
      <c r="M67" s="1972"/>
      <c r="N67" s="1972"/>
      <c r="O67" s="1973"/>
      <c r="P67" s="1417"/>
      <c r="Q67" s="1418"/>
      <c r="R67" s="1419"/>
      <c r="S67" s="1420"/>
      <c r="T67" s="1421"/>
      <c r="U67" s="1419"/>
      <c r="V67" s="1375"/>
      <c r="W67" s="1376"/>
      <c r="X67" s="1376"/>
      <c r="Y67" s="1377"/>
      <c r="AB67" s="1422"/>
      <c r="AC67" s="1422"/>
      <c r="AK67" s="1448"/>
      <c r="AL67" s="1454"/>
      <c r="AM67" s="1454"/>
      <c r="AN67" s="1453"/>
      <c r="AO67" s="1453"/>
      <c r="AP67" s="1483"/>
      <c r="AQ67" s="1507"/>
      <c r="AR67" s="1453"/>
      <c r="AS67" s="1453"/>
      <c r="AT67" s="1451"/>
    </row>
    <row r="68" spans="1:46" ht="11.25">
      <c r="A68" s="1424"/>
      <c r="B68" s="1425"/>
      <c r="C68" s="1426" t="s">
        <v>256</v>
      </c>
      <c r="D68" s="1426" t="s">
        <v>257</v>
      </c>
      <c r="E68" s="1427" t="s">
        <v>258</v>
      </c>
      <c r="F68" s="1427" t="s">
        <v>259</v>
      </c>
      <c r="G68" s="1427" t="s">
        <v>260</v>
      </c>
      <c r="H68" s="1427" t="s">
        <v>261</v>
      </c>
      <c r="I68" s="1427" t="s">
        <v>262</v>
      </c>
      <c r="J68" s="1427" t="s">
        <v>263</v>
      </c>
      <c r="K68" s="1974" t="s">
        <v>264</v>
      </c>
      <c r="L68" s="1975"/>
      <c r="M68" s="1975"/>
      <c r="N68" s="1975" t="s">
        <v>265</v>
      </c>
      <c r="O68" s="1976"/>
      <c r="P68" s="1428"/>
      <c r="Q68" s="1429"/>
      <c r="R68" s="1430" t="s">
        <v>266</v>
      </c>
      <c r="S68" s="1430" t="s">
        <v>267</v>
      </c>
      <c r="T68" s="1430"/>
      <c r="U68" s="1430"/>
      <c r="V68" s="1977" t="s">
        <v>268</v>
      </c>
      <c r="W68" s="1978"/>
      <c r="X68" s="1978"/>
      <c r="Y68" s="1979"/>
      <c r="AB68" s="1422"/>
      <c r="AC68" s="1422"/>
      <c r="AK68" s="1448"/>
      <c r="AL68" s="1454"/>
      <c r="AM68" s="1454"/>
      <c r="AN68" s="1453"/>
      <c r="AO68" s="1453"/>
      <c r="AP68" s="1483"/>
      <c r="AQ68" s="1507"/>
      <c r="AR68" s="1453"/>
      <c r="AS68" s="1453"/>
      <c r="AT68" s="1451"/>
    </row>
    <row r="69" spans="1:46" ht="13.5" customHeight="1">
      <c r="A69" s="1436" t="s">
        <v>269</v>
      </c>
      <c r="B69" s="1430" t="s">
        <v>270</v>
      </c>
      <c r="C69" s="1436" t="s">
        <v>271</v>
      </c>
      <c r="D69" s="1436"/>
      <c r="E69" s="1436"/>
      <c r="F69" s="1436"/>
      <c r="G69" s="1436"/>
      <c r="H69" s="1436"/>
      <c r="I69" s="1436"/>
      <c r="J69" s="1436"/>
      <c r="K69" s="1436" t="s">
        <v>272</v>
      </c>
      <c r="L69" s="1429" t="s">
        <v>273</v>
      </c>
      <c r="M69" s="1430" t="s">
        <v>274</v>
      </c>
      <c r="N69" s="1430" t="s">
        <v>275</v>
      </c>
      <c r="O69" s="1430" t="s">
        <v>276</v>
      </c>
      <c r="P69" s="1437" t="s">
        <v>277</v>
      </c>
      <c r="Q69" s="1437" t="s">
        <v>278</v>
      </c>
      <c r="R69" s="1438" t="s">
        <v>279</v>
      </c>
      <c r="S69" s="1438" t="s">
        <v>280</v>
      </c>
      <c r="T69" s="1438" t="s">
        <v>281</v>
      </c>
      <c r="U69" s="1438" t="s">
        <v>282</v>
      </c>
      <c r="V69" s="1378" t="s">
        <v>283</v>
      </c>
      <c r="W69" s="1378" t="s">
        <v>284</v>
      </c>
      <c r="X69" s="1378" t="s">
        <v>285</v>
      </c>
      <c r="Y69" s="1378" t="s">
        <v>286</v>
      </c>
      <c r="AB69" s="1422"/>
      <c r="AC69" s="1422"/>
      <c r="AK69" s="1448"/>
      <c r="AL69" s="1454"/>
      <c r="AM69" s="1454"/>
      <c r="AN69" s="1453"/>
      <c r="AO69" s="1453"/>
      <c r="AP69" s="1483"/>
      <c r="AQ69" s="1507"/>
      <c r="AR69" s="1453"/>
      <c r="AS69" s="1453"/>
      <c r="AT69" s="1451"/>
    </row>
    <row r="70" spans="1:46" ht="13.5" customHeight="1">
      <c r="A70" s="1439"/>
      <c r="B70" s="1440" t="s">
        <v>380</v>
      </c>
      <c r="C70" s="1439" t="s">
        <v>381</v>
      </c>
      <c r="D70" s="1439"/>
      <c r="E70" s="1439"/>
      <c r="F70" s="1456">
        <v>35109</v>
      </c>
      <c r="G70" s="1439">
        <v>2325</v>
      </c>
      <c r="H70" s="1439" t="s">
        <v>313</v>
      </c>
      <c r="I70" s="1439">
        <v>30</v>
      </c>
      <c r="J70" s="1439" t="s">
        <v>382</v>
      </c>
      <c r="K70" s="1442" t="s">
        <v>379</v>
      </c>
      <c r="L70" s="1442">
        <f>4370295.33</f>
        <v>4370295.33</v>
      </c>
      <c r="M70" s="1442"/>
      <c r="N70" s="1442"/>
      <c r="O70" s="1443">
        <f>+L70+1557587.35-714651-193144-500000-470000-200000-265402.49-929118.635-23823.54-350174</f>
        <v>2281569.0149999997</v>
      </c>
      <c r="P70" s="1442"/>
      <c r="Q70" s="1442"/>
      <c r="R70" s="1444">
        <f>+L70*S70</f>
        <v>72109872.945000008</v>
      </c>
      <c r="S70" s="1358">
        <v>16.5</v>
      </c>
      <c r="T70" s="1439" t="s">
        <v>383</v>
      </c>
      <c r="U70" s="1456">
        <v>38473</v>
      </c>
      <c r="V70" s="1358"/>
      <c r="W70" s="1358">
        <f>+R70+6231668-9447686.22-2553363.68-6607503.22-6211053.03-2643001.39+116650-3515336.7-12306459.2-315550-4638161.08</f>
        <v>30220076.425000012</v>
      </c>
      <c r="X70" s="1358"/>
      <c r="Y70" s="1358"/>
      <c r="Z70" s="1414" t="s">
        <v>303</v>
      </c>
      <c r="AB70" s="1422"/>
      <c r="AC70" s="1422"/>
      <c r="AE70" s="1431">
        <f>W70/O70:O70</f>
        <v>13.245304536623896</v>
      </c>
      <c r="AF70" s="1423">
        <v>9706648.1400000006</v>
      </c>
      <c r="AG70" s="1423">
        <f>(O70*AF70)/AF71</f>
        <v>6565833.1540535539</v>
      </c>
      <c r="AJ70" s="1423"/>
      <c r="AK70" s="1448" t="s">
        <v>6025</v>
      </c>
      <c r="AL70" s="1454" t="s">
        <v>380</v>
      </c>
      <c r="AM70" s="1454" t="s">
        <v>376</v>
      </c>
      <c r="AN70" s="1453" t="s">
        <v>5424</v>
      </c>
      <c r="AO70" s="1453" t="s">
        <v>5424</v>
      </c>
      <c r="AP70" s="1483" t="s">
        <v>5393</v>
      </c>
      <c r="AQ70" s="1509">
        <v>2281569.02</v>
      </c>
      <c r="AR70" s="1453" t="s">
        <v>5425</v>
      </c>
      <c r="AS70" s="1452" t="s">
        <v>5426</v>
      </c>
      <c r="AT70" s="1451" t="s">
        <v>5381</v>
      </c>
    </row>
    <row r="71" spans="1:46" ht="13.5" customHeight="1">
      <c r="A71" s="1439"/>
      <c r="B71" s="1440" t="s">
        <v>384</v>
      </c>
      <c r="C71" s="1439" t="s">
        <v>385</v>
      </c>
      <c r="D71" s="1439"/>
      <c r="E71" s="1439"/>
      <c r="F71" s="1439"/>
      <c r="G71" s="1439"/>
      <c r="H71" s="1439"/>
      <c r="I71" s="1439"/>
      <c r="J71" s="1439"/>
      <c r="K71" s="1442" t="s">
        <v>379</v>
      </c>
      <c r="L71" s="1442">
        <f>314968.7</f>
        <v>314968.7</v>
      </c>
      <c r="M71" s="1439"/>
      <c r="N71" s="1442"/>
      <c r="O71" s="1442">
        <f>+L71-92637.92+869074.68</f>
        <v>1091405.46</v>
      </c>
      <c r="P71" s="1442"/>
      <c r="Q71" s="1442"/>
      <c r="R71" s="1444">
        <f>+L71*S71</f>
        <v>5196983.55</v>
      </c>
      <c r="S71" s="1358">
        <v>16.5</v>
      </c>
      <c r="T71" s="1439" t="s">
        <v>383</v>
      </c>
      <c r="U71" s="1456">
        <v>38473</v>
      </c>
      <c r="V71" s="1358"/>
      <c r="W71" s="1358">
        <f>+R71-1528525.68+3474980</f>
        <v>7143437.8700000001</v>
      </c>
      <c r="X71" s="1358"/>
      <c r="Y71" s="1358"/>
      <c r="Z71" s="1414" t="s">
        <v>303</v>
      </c>
      <c r="AB71" s="1422"/>
      <c r="AC71" s="1422"/>
      <c r="AE71" s="1431">
        <f>W71/O71:O71</f>
        <v>6.5451732942585794</v>
      </c>
      <c r="AF71" s="1423">
        <f>O72</f>
        <v>3372974.4749999996</v>
      </c>
      <c r="AG71" s="1423">
        <f>(O71*AF70)/AF71</f>
        <v>3140814.9859464457</v>
      </c>
      <c r="AJ71" s="1423"/>
      <c r="AK71" s="1448" t="s">
        <v>6026</v>
      </c>
      <c r="AL71" s="1454" t="s">
        <v>384</v>
      </c>
      <c r="AM71" s="1510" t="s">
        <v>376</v>
      </c>
      <c r="AN71" s="1453" t="s">
        <v>5424</v>
      </c>
      <c r="AO71" s="1453" t="s">
        <v>5424</v>
      </c>
      <c r="AP71" s="1483" t="s">
        <v>5393</v>
      </c>
      <c r="AQ71" s="1452">
        <v>1091405.46</v>
      </c>
      <c r="AR71" s="1453" t="s">
        <v>5427</v>
      </c>
      <c r="AS71" s="1453" t="s">
        <v>5428</v>
      </c>
      <c r="AT71" s="1451" t="s">
        <v>5381</v>
      </c>
    </row>
    <row r="72" spans="1:46" ht="13.5" customHeight="1">
      <c r="A72" s="1439"/>
      <c r="B72" s="1440"/>
      <c r="C72" s="1508" t="s">
        <v>379</v>
      </c>
      <c r="D72" s="1508"/>
      <c r="E72" s="1508"/>
      <c r="F72" s="1508"/>
      <c r="G72" s="1508"/>
      <c r="H72" s="1508"/>
      <c r="I72" s="1508"/>
      <c r="J72" s="1508"/>
      <c r="K72" s="1472" t="s">
        <v>98</v>
      </c>
      <c r="L72" s="1455">
        <f t="shared" ref="L72:Q72" si="12">SUM(L70:L71)</f>
        <v>4685264.03</v>
      </c>
      <c r="M72" s="1381">
        <f t="shared" si="12"/>
        <v>0</v>
      </c>
      <c r="N72" s="1455">
        <f t="shared" si="12"/>
        <v>0</v>
      </c>
      <c r="O72" s="1455">
        <f t="shared" si="12"/>
        <v>3372974.4749999996</v>
      </c>
      <c r="P72" s="1455">
        <f t="shared" si="12"/>
        <v>0</v>
      </c>
      <c r="Q72" s="1455">
        <f t="shared" si="12"/>
        <v>0</v>
      </c>
      <c r="R72" s="1455">
        <f>SUM(R70:R71)</f>
        <v>77306856.495000005</v>
      </c>
      <c r="S72" s="1439"/>
      <c r="T72" s="1439"/>
      <c r="U72" s="1439"/>
      <c r="V72" s="1371">
        <f>SUM(V70:V71)</f>
        <v>0</v>
      </c>
      <c r="W72" s="1371">
        <f>SUM(W70:W71)</f>
        <v>37363514.295000009</v>
      </c>
      <c r="X72" s="1371">
        <f>SUM(X70:X71)</f>
        <v>0</v>
      </c>
      <c r="Y72" s="1371">
        <f>SUM(Y70:Y71)</f>
        <v>0</v>
      </c>
      <c r="AB72" s="1422"/>
      <c r="AC72" s="1422"/>
      <c r="AE72" s="1431">
        <f>W72/O72:O72</f>
        <v>11.077319016770803</v>
      </c>
      <c r="AF72" s="1423"/>
      <c r="AG72" s="1423"/>
      <c r="AK72" s="1448"/>
      <c r="AL72" s="1454"/>
      <c r="AM72" s="1510"/>
      <c r="AN72" s="1453"/>
      <c r="AO72" s="1453"/>
      <c r="AP72" s="1483"/>
      <c r="AQ72" s="1452"/>
      <c r="AR72" s="1453"/>
      <c r="AS72" s="1453"/>
      <c r="AT72" s="1451"/>
    </row>
    <row r="73" spans="1:46" ht="12.75">
      <c r="A73" s="1415"/>
      <c r="B73" s="1415"/>
      <c r="C73" s="1415"/>
      <c r="D73" s="1415"/>
      <c r="E73" s="1415"/>
      <c r="F73" s="1415"/>
      <c r="G73" s="1415"/>
      <c r="H73" s="1415"/>
      <c r="I73" s="1415"/>
      <c r="J73" s="1415"/>
      <c r="K73" s="1416"/>
      <c r="L73" s="1415"/>
      <c r="M73" s="1415"/>
      <c r="N73" s="1415"/>
      <c r="O73" s="1415"/>
      <c r="P73" s="1415"/>
      <c r="Q73" s="1415"/>
      <c r="R73" s="1415"/>
      <c r="AF73" s="1414" t="s">
        <v>386</v>
      </c>
      <c r="AK73" s="1448"/>
      <c r="AL73" s="1454"/>
      <c r="AM73" s="1510"/>
      <c r="AN73" s="1453"/>
      <c r="AO73" s="1453"/>
      <c r="AP73" s="1483"/>
      <c r="AQ73" s="1452"/>
      <c r="AR73" s="1453"/>
      <c r="AS73" s="1453"/>
      <c r="AT73" s="1451"/>
    </row>
    <row r="74" spans="1:46" ht="12.75" hidden="1">
      <c r="A74" s="1971" t="s">
        <v>387</v>
      </c>
      <c r="B74" s="1972"/>
      <c r="C74" s="1972"/>
      <c r="D74" s="1972"/>
      <c r="E74" s="1972"/>
      <c r="F74" s="1972"/>
      <c r="G74" s="1972"/>
      <c r="H74" s="1972"/>
      <c r="I74" s="1972"/>
      <c r="J74" s="1972"/>
      <c r="K74" s="1972"/>
      <c r="L74" s="1972"/>
      <c r="M74" s="1972"/>
      <c r="N74" s="1972"/>
      <c r="O74" s="1973"/>
      <c r="P74" s="1417"/>
      <c r="Q74" s="1418"/>
      <c r="R74" s="1419"/>
      <c r="S74" s="1420"/>
      <c r="T74" s="1421"/>
      <c r="U74" s="1419"/>
      <c r="V74" s="1375"/>
      <c r="W74" s="1376"/>
      <c r="X74" s="1376"/>
      <c r="Y74" s="1377"/>
      <c r="AB74" s="1422"/>
      <c r="AC74" s="1422"/>
      <c r="AK74" s="1448"/>
      <c r="AL74" s="1454"/>
      <c r="AM74" s="1510"/>
      <c r="AN74" s="1453"/>
      <c r="AO74" s="1453"/>
      <c r="AP74" s="1483"/>
      <c r="AQ74" s="1452"/>
      <c r="AR74" s="1453"/>
      <c r="AS74" s="1453"/>
      <c r="AT74" s="1451"/>
    </row>
    <row r="75" spans="1:46" ht="12.75" hidden="1">
      <c r="A75" s="1424"/>
      <c r="B75" s="1425"/>
      <c r="C75" s="1426" t="s">
        <v>256</v>
      </c>
      <c r="D75" s="1426" t="s">
        <v>257</v>
      </c>
      <c r="E75" s="1427" t="s">
        <v>258</v>
      </c>
      <c r="F75" s="1427" t="s">
        <v>259</v>
      </c>
      <c r="G75" s="1427" t="s">
        <v>260</v>
      </c>
      <c r="H75" s="1427" t="s">
        <v>261</v>
      </c>
      <c r="I75" s="1427" t="s">
        <v>262</v>
      </c>
      <c r="J75" s="1427" t="s">
        <v>263</v>
      </c>
      <c r="K75" s="1974" t="s">
        <v>264</v>
      </c>
      <c r="L75" s="1975"/>
      <c r="M75" s="1975"/>
      <c r="N75" s="1975" t="s">
        <v>265</v>
      </c>
      <c r="O75" s="1976"/>
      <c r="P75" s="1475"/>
      <c r="Q75" s="1476"/>
      <c r="R75" s="1430" t="s">
        <v>266</v>
      </c>
      <c r="S75" s="1430" t="s">
        <v>267</v>
      </c>
      <c r="T75" s="1430"/>
      <c r="U75" s="1430"/>
      <c r="V75" s="1977" t="s">
        <v>268</v>
      </c>
      <c r="W75" s="1978"/>
      <c r="X75" s="1978"/>
      <c r="Y75" s="1979"/>
      <c r="AB75" s="1422"/>
      <c r="AC75" s="1422"/>
      <c r="AK75" s="1448"/>
      <c r="AL75" s="1454"/>
      <c r="AM75" s="1510"/>
      <c r="AN75" s="1453"/>
      <c r="AO75" s="1453"/>
      <c r="AP75" s="1483"/>
      <c r="AQ75" s="1452"/>
      <c r="AR75" s="1453"/>
      <c r="AS75" s="1453"/>
      <c r="AT75" s="1451"/>
    </row>
    <row r="76" spans="1:46" ht="12.75" hidden="1" customHeight="1">
      <c r="A76" s="1436" t="s">
        <v>269</v>
      </c>
      <c r="B76" s="1430" t="s">
        <v>270</v>
      </c>
      <c r="C76" s="1436" t="s">
        <v>271</v>
      </c>
      <c r="D76" s="1436"/>
      <c r="E76" s="1436"/>
      <c r="F76" s="1436"/>
      <c r="G76" s="1436"/>
      <c r="H76" s="1436"/>
      <c r="I76" s="1436"/>
      <c r="J76" s="1436"/>
      <c r="K76" s="1436" t="s">
        <v>272</v>
      </c>
      <c r="L76" s="1429" t="s">
        <v>273</v>
      </c>
      <c r="M76" s="1430" t="s">
        <v>274</v>
      </c>
      <c r="N76" s="1430" t="s">
        <v>275</v>
      </c>
      <c r="O76" s="1430" t="s">
        <v>276</v>
      </c>
      <c r="P76" s="1437" t="s">
        <v>277</v>
      </c>
      <c r="Q76" s="1437" t="s">
        <v>278</v>
      </c>
      <c r="R76" s="1438" t="s">
        <v>279</v>
      </c>
      <c r="S76" s="1438" t="s">
        <v>280</v>
      </c>
      <c r="T76" s="1438" t="s">
        <v>281</v>
      </c>
      <c r="U76" s="1438" t="s">
        <v>282</v>
      </c>
      <c r="V76" s="1378" t="s">
        <v>283</v>
      </c>
      <c r="W76" s="1378" t="s">
        <v>284</v>
      </c>
      <c r="X76" s="1378" t="s">
        <v>285</v>
      </c>
      <c r="Y76" s="1378" t="s">
        <v>286</v>
      </c>
      <c r="AB76" s="1422"/>
      <c r="AC76" s="1422"/>
      <c r="AK76" s="1448"/>
      <c r="AL76" s="1454"/>
      <c r="AM76" s="1510"/>
      <c r="AN76" s="1453"/>
      <c r="AO76" s="1453"/>
      <c r="AP76" s="1483"/>
      <c r="AQ76" s="1452"/>
      <c r="AR76" s="1453"/>
      <c r="AS76" s="1453"/>
      <c r="AT76" s="1451"/>
    </row>
    <row r="77" spans="1:46" ht="12.75" hidden="1" customHeight="1">
      <c r="A77" s="1439"/>
      <c r="B77" s="1440"/>
      <c r="C77" s="1439" t="s">
        <v>388</v>
      </c>
      <c r="D77" s="1439"/>
      <c r="E77" s="1439"/>
      <c r="F77" s="1439"/>
      <c r="G77" s="1439"/>
      <c r="H77" s="1439"/>
      <c r="I77" s="1439"/>
      <c r="J77" s="1439"/>
      <c r="K77" s="1442" t="s">
        <v>387</v>
      </c>
      <c r="L77" s="1442">
        <v>2727140.0550000002</v>
      </c>
      <c r="M77" s="1442"/>
      <c r="N77" s="1442"/>
      <c r="O77" s="1443">
        <f>40000-40000</f>
        <v>0</v>
      </c>
      <c r="P77" s="1442">
        <v>2030959.13</v>
      </c>
      <c r="Q77" s="1442">
        <v>123088.432</v>
      </c>
      <c r="R77" s="1442">
        <f>+P77/Q77*L77</f>
        <v>44997810.95181188</v>
      </c>
      <c r="S77" s="1444">
        <f>+P77/Q77</f>
        <v>16.500000016248478</v>
      </c>
      <c r="T77" s="1445" t="s">
        <v>389</v>
      </c>
      <c r="U77" s="1456">
        <v>38473</v>
      </c>
      <c r="V77" s="1358"/>
      <c r="W77" s="1358"/>
      <c r="X77" s="1358"/>
      <c r="Y77" s="1358">
        <f>18800000-18800000</f>
        <v>0</v>
      </c>
      <c r="Z77" s="1414" t="s">
        <v>292</v>
      </c>
      <c r="AA77" s="1414" t="s">
        <v>390</v>
      </c>
      <c r="AB77" s="1422" t="s">
        <v>391</v>
      </c>
      <c r="AC77" s="1422"/>
      <c r="AK77" s="1448"/>
      <c r="AL77" s="1454"/>
      <c r="AM77" s="1510"/>
      <c r="AN77" s="1453"/>
      <c r="AO77" s="1453"/>
      <c r="AP77" s="1483"/>
      <c r="AQ77" s="1452"/>
      <c r="AR77" s="1453"/>
      <c r="AS77" s="1453"/>
      <c r="AT77" s="1451"/>
    </row>
    <row r="78" spans="1:46" ht="12.75" hidden="1" customHeight="1">
      <c r="A78" s="1439"/>
      <c r="B78" s="1440"/>
      <c r="C78" s="1472" t="s">
        <v>392</v>
      </c>
      <c r="D78" s="1472"/>
      <c r="E78" s="1472"/>
      <c r="F78" s="1472"/>
      <c r="G78" s="1472"/>
      <c r="H78" s="1472"/>
      <c r="I78" s="1472"/>
      <c r="J78" s="1472"/>
      <c r="K78" s="1472" t="s">
        <v>98</v>
      </c>
      <c r="L78" s="1455">
        <f t="shared" ref="L78:R78" si="13">SUM(L77:L77)</f>
        <v>2727140.0550000002</v>
      </c>
      <c r="M78" s="1381">
        <f t="shared" si="13"/>
        <v>0</v>
      </c>
      <c r="N78" s="1455">
        <f t="shared" si="13"/>
        <v>0</v>
      </c>
      <c r="O78" s="1455">
        <f t="shared" si="13"/>
        <v>0</v>
      </c>
      <c r="P78" s="1455">
        <f t="shared" si="13"/>
        <v>2030959.13</v>
      </c>
      <c r="Q78" s="1455">
        <f t="shared" si="13"/>
        <v>123088.432</v>
      </c>
      <c r="R78" s="1455">
        <f t="shared" si="13"/>
        <v>44997810.95181188</v>
      </c>
      <c r="S78" s="1439"/>
      <c r="T78" s="1358"/>
      <c r="U78" s="1439"/>
      <c r="V78" s="1371">
        <f>SUM(V77)</f>
        <v>0</v>
      </c>
      <c r="W78" s="1371">
        <f>SUM(W77)</f>
        <v>0</v>
      </c>
      <c r="X78" s="1371">
        <f>SUM(X77)</f>
        <v>0</v>
      </c>
      <c r="Y78" s="1371">
        <f>SUM(Y77)</f>
        <v>0</v>
      </c>
      <c r="AB78" s="1422"/>
      <c r="AC78" s="1422"/>
      <c r="AK78" s="1448"/>
      <c r="AL78" s="1454"/>
      <c r="AM78" s="1510"/>
      <c r="AN78" s="1453"/>
      <c r="AO78" s="1453"/>
      <c r="AP78" s="1483"/>
      <c r="AQ78" s="1452"/>
      <c r="AR78" s="1453"/>
      <c r="AS78" s="1453"/>
      <c r="AT78" s="1451"/>
    </row>
    <row r="79" spans="1:46" ht="12.75" hidden="1">
      <c r="A79" s="1415"/>
      <c r="B79" s="1415"/>
      <c r="C79" s="1415"/>
      <c r="D79" s="1415"/>
      <c r="E79" s="1415"/>
      <c r="F79" s="1415"/>
      <c r="G79" s="1415"/>
      <c r="H79" s="1415"/>
      <c r="I79" s="1415"/>
      <c r="J79" s="1415"/>
      <c r="K79" s="1416"/>
      <c r="L79" s="1415"/>
      <c r="M79" s="1415"/>
      <c r="N79" s="1415"/>
      <c r="O79" s="1415"/>
      <c r="P79" s="1415"/>
      <c r="Q79" s="1415"/>
      <c r="R79" s="1415"/>
      <c r="AK79" s="1448"/>
      <c r="AL79" s="1454"/>
      <c r="AM79" s="1510"/>
      <c r="AN79" s="1453"/>
      <c r="AO79" s="1453"/>
      <c r="AP79" s="1483"/>
      <c r="AQ79" s="1452"/>
      <c r="AR79" s="1453"/>
      <c r="AS79" s="1453"/>
      <c r="AT79" s="1451"/>
    </row>
    <row r="80" spans="1:46" ht="12.75">
      <c r="A80" s="1971" t="s">
        <v>393</v>
      </c>
      <c r="B80" s="1972"/>
      <c r="C80" s="1972"/>
      <c r="D80" s="1972"/>
      <c r="E80" s="1972"/>
      <c r="F80" s="1972"/>
      <c r="G80" s="1972"/>
      <c r="H80" s="1972"/>
      <c r="I80" s="1972"/>
      <c r="J80" s="1972"/>
      <c r="K80" s="1972"/>
      <c r="L80" s="1972"/>
      <c r="M80" s="1972"/>
      <c r="N80" s="1972"/>
      <c r="O80" s="1973"/>
      <c r="P80" s="1417"/>
      <c r="Q80" s="1418"/>
      <c r="R80" s="1419"/>
      <c r="S80" s="1420"/>
      <c r="T80" s="1421"/>
      <c r="U80" s="1419"/>
      <c r="V80" s="1375"/>
      <c r="W80" s="1376"/>
      <c r="X80" s="1376"/>
      <c r="Y80" s="1377"/>
      <c r="AB80" s="1422"/>
      <c r="AC80" s="1422"/>
      <c r="AK80" s="1448"/>
      <c r="AL80" s="1454"/>
      <c r="AM80" s="1510"/>
      <c r="AN80" s="1453"/>
      <c r="AO80" s="1453"/>
      <c r="AP80" s="1483"/>
      <c r="AQ80" s="1452"/>
      <c r="AR80" s="1453"/>
      <c r="AS80" s="1453"/>
      <c r="AT80" s="1451"/>
    </row>
    <row r="81" spans="1:46" ht="12.75">
      <c r="A81" s="1424"/>
      <c r="B81" s="1425"/>
      <c r="C81" s="1426" t="s">
        <v>256</v>
      </c>
      <c r="D81" s="1426" t="s">
        <v>257</v>
      </c>
      <c r="E81" s="1427" t="s">
        <v>258</v>
      </c>
      <c r="F81" s="1427" t="s">
        <v>259</v>
      </c>
      <c r="G81" s="1427" t="s">
        <v>260</v>
      </c>
      <c r="H81" s="1427" t="s">
        <v>261</v>
      </c>
      <c r="I81" s="1427" t="s">
        <v>262</v>
      </c>
      <c r="J81" s="1427" t="s">
        <v>263</v>
      </c>
      <c r="K81" s="1974" t="s">
        <v>264</v>
      </c>
      <c r="L81" s="1975"/>
      <c r="M81" s="1975"/>
      <c r="N81" s="1975" t="s">
        <v>265</v>
      </c>
      <c r="O81" s="1976"/>
      <c r="P81" s="1475"/>
      <c r="Q81" s="1476"/>
      <c r="R81" s="1430" t="s">
        <v>266</v>
      </c>
      <c r="S81" s="1430" t="s">
        <v>267</v>
      </c>
      <c r="T81" s="1430"/>
      <c r="U81" s="1430"/>
      <c r="V81" s="1977" t="s">
        <v>268</v>
      </c>
      <c r="W81" s="1978"/>
      <c r="X81" s="1978"/>
      <c r="Y81" s="1979"/>
      <c r="AB81" s="1422"/>
      <c r="AC81" s="1422"/>
      <c r="AK81" s="1448"/>
      <c r="AL81" s="1454"/>
      <c r="AM81" s="1510"/>
      <c r="AN81" s="1453"/>
      <c r="AO81" s="1453"/>
      <c r="AP81" s="1483"/>
      <c r="AQ81" s="1452"/>
      <c r="AR81" s="1453"/>
      <c r="AS81" s="1453"/>
      <c r="AT81" s="1451"/>
    </row>
    <row r="82" spans="1:46" ht="12.75" customHeight="1">
      <c r="A82" s="1436" t="s">
        <v>269</v>
      </c>
      <c r="B82" s="1430" t="s">
        <v>270</v>
      </c>
      <c r="C82" s="1436" t="s">
        <v>271</v>
      </c>
      <c r="D82" s="1436"/>
      <c r="E82" s="1436"/>
      <c r="F82" s="1436"/>
      <c r="G82" s="1436"/>
      <c r="H82" s="1436"/>
      <c r="I82" s="1436"/>
      <c r="J82" s="1436"/>
      <c r="K82" s="1436" t="s">
        <v>272</v>
      </c>
      <c r="L82" s="1429" t="s">
        <v>273</v>
      </c>
      <c r="M82" s="1430" t="s">
        <v>274</v>
      </c>
      <c r="N82" s="1430" t="s">
        <v>275</v>
      </c>
      <c r="O82" s="1430" t="s">
        <v>276</v>
      </c>
      <c r="P82" s="1437" t="s">
        <v>277</v>
      </c>
      <c r="Q82" s="1437" t="s">
        <v>278</v>
      </c>
      <c r="R82" s="1438" t="s">
        <v>279</v>
      </c>
      <c r="S82" s="1438" t="s">
        <v>280</v>
      </c>
      <c r="T82" s="1438" t="s">
        <v>281</v>
      </c>
      <c r="U82" s="1438" t="s">
        <v>282</v>
      </c>
      <c r="V82" s="1378" t="s">
        <v>283</v>
      </c>
      <c r="W82" s="1378" t="s">
        <v>284</v>
      </c>
      <c r="X82" s="1378" t="s">
        <v>285</v>
      </c>
      <c r="Y82" s="1378" t="s">
        <v>286</v>
      </c>
      <c r="AB82" s="1422"/>
      <c r="AC82" s="1422"/>
      <c r="AK82" s="1448"/>
      <c r="AL82" s="1454"/>
      <c r="AM82" s="1510"/>
      <c r="AN82" s="1453"/>
      <c r="AO82" s="1453"/>
      <c r="AP82" s="1483"/>
      <c r="AQ82" s="1452"/>
      <c r="AR82" s="1453"/>
      <c r="AS82" s="1453"/>
      <c r="AT82" s="1451"/>
    </row>
    <row r="83" spans="1:46" ht="12.75" customHeight="1">
      <c r="A83" s="1439"/>
      <c r="B83" s="1440"/>
      <c r="C83" s="1439" t="s">
        <v>394</v>
      </c>
      <c r="D83" s="1439"/>
      <c r="E83" s="1439"/>
      <c r="F83" s="1439"/>
      <c r="G83" s="1439"/>
      <c r="H83" s="1439"/>
      <c r="I83" s="1439"/>
      <c r="J83" s="1439"/>
      <c r="K83" s="1442" t="s">
        <v>395</v>
      </c>
      <c r="L83" s="1442">
        <v>2727140.0550000002</v>
      </c>
      <c r="M83" s="1442"/>
      <c r="N83" s="1442"/>
      <c r="O83" s="1443">
        <f>+L83-178331.478-201321.83-105323.16+201321.83</f>
        <v>2443485.4169999999</v>
      </c>
      <c r="P83" s="1442">
        <v>2030959.13</v>
      </c>
      <c r="Q83" s="1442">
        <v>123088.432</v>
      </c>
      <c r="R83" s="1442">
        <f>+P83/Q83*L83</f>
        <v>44997810.95181188</v>
      </c>
      <c r="S83" s="1444">
        <f>+P83/Q83</f>
        <v>16.500000016248478</v>
      </c>
      <c r="T83" s="1445" t="s">
        <v>389</v>
      </c>
      <c r="U83" s="1456">
        <v>38473</v>
      </c>
      <c r="V83" s="1358"/>
      <c r="W83" s="1358">
        <f>+R83-2942469.38-3321810.56-1737832.16+3321810.56</f>
        <v>40317509.411811881</v>
      </c>
      <c r="X83" s="1358"/>
      <c r="Y83" s="1358"/>
      <c r="Z83" s="1414" t="s">
        <v>292</v>
      </c>
      <c r="AA83" s="1414" t="s">
        <v>390</v>
      </c>
      <c r="AB83" s="1422" t="s">
        <v>391</v>
      </c>
      <c r="AC83" s="1422"/>
      <c r="AJ83" s="1423"/>
      <c r="AK83" s="1448" t="s">
        <v>6027</v>
      </c>
      <c r="AL83" s="1449" t="s">
        <v>5429</v>
      </c>
      <c r="AM83" s="1511" t="s">
        <v>376</v>
      </c>
      <c r="AN83" s="1453" t="s">
        <v>5430</v>
      </c>
      <c r="AO83" s="1453" t="s">
        <v>5430</v>
      </c>
      <c r="AP83" s="1483" t="s">
        <v>5393</v>
      </c>
      <c r="AQ83" s="1509">
        <v>2443485.42</v>
      </c>
      <c r="AR83" s="1453" t="s">
        <v>5431</v>
      </c>
      <c r="AS83" s="1453" t="s">
        <v>5432</v>
      </c>
      <c r="AT83" s="1451" t="s">
        <v>5381</v>
      </c>
    </row>
    <row r="84" spans="1:46" ht="12.75" customHeight="1">
      <c r="A84" s="1439"/>
      <c r="B84" s="1440"/>
      <c r="C84" s="1472" t="s">
        <v>392</v>
      </c>
      <c r="D84" s="1472"/>
      <c r="E84" s="1472"/>
      <c r="F84" s="1472"/>
      <c r="G84" s="1472"/>
      <c r="H84" s="1472"/>
      <c r="I84" s="1472"/>
      <c r="J84" s="1472"/>
      <c r="K84" s="1472" t="s">
        <v>98</v>
      </c>
      <c r="L84" s="1455">
        <f t="shared" ref="L84:R84" si="14">SUM(L83:L83)</f>
        <v>2727140.0550000002</v>
      </c>
      <c r="M84" s="1381">
        <f t="shared" si="14"/>
        <v>0</v>
      </c>
      <c r="N84" s="1455">
        <f t="shared" si="14"/>
        <v>0</v>
      </c>
      <c r="O84" s="1455">
        <f t="shared" si="14"/>
        <v>2443485.4169999999</v>
      </c>
      <c r="P84" s="1455">
        <f t="shared" si="14"/>
        <v>2030959.13</v>
      </c>
      <c r="Q84" s="1455">
        <f t="shared" si="14"/>
        <v>123088.432</v>
      </c>
      <c r="R84" s="1455">
        <f t="shared" si="14"/>
        <v>44997810.95181188</v>
      </c>
      <c r="S84" s="1439"/>
      <c r="T84" s="1358"/>
      <c r="U84" s="1439"/>
      <c r="V84" s="1371">
        <f>SUM(V83)</f>
        <v>0</v>
      </c>
      <c r="W84" s="1371">
        <f>SUM(W83)</f>
        <v>40317509.411811881</v>
      </c>
      <c r="X84" s="1371">
        <f>SUM(X83)</f>
        <v>0</v>
      </c>
      <c r="Y84" s="1371">
        <f>SUM(Y83)</f>
        <v>0</v>
      </c>
      <c r="AB84" s="1422"/>
      <c r="AC84" s="1422"/>
      <c r="AK84" s="1448"/>
      <c r="AL84" s="1449"/>
      <c r="AM84" s="1511"/>
      <c r="AN84" s="1453"/>
      <c r="AO84" s="1453"/>
      <c r="AP84" s="1483"/>
      <c r="AQ84" s="1509"/>
      <c r="AR84" s="1453"/>
      <c r="AS84" s="1453"/>
      <c r="AT84" s="1451"/>
    </row>
    <row r="85" spans="1:46" ht="11.25">
      <c r="A85" s="1415"/>
      <c r="B85" s="1415"/>
      <c r="C85" s="1415"/>
      <c r="D85" s="1415"/>
      <c r="E85" s="1415"/>
      <c r="F85" s="1415"/>
      <c r="G85" s="1415"/>
      <c r="H85" s="1415"/>
      <c r="I85" s="1415"/>
      <c r="J85" s="1415"/>
      <c r="K85" s="1416"/>
      <c r="L85" s="1415"/>
      <c r="M85" s="1415"/>
      <c r="N85" s="1415"/>
      <c r="O85" s="1415"/>
      <c r="P85" s="1415"/>
      <c r="Q85" s="1415"/>
      <c r="R85" s="1415"/>
      <c r="AK85" s="1448"/>
      <c r="AL85" s="1449"/>
      <c r="AM85" s="1511"/>
      <c r="AN85" s="1453"/>
      <c r="AO85" s="1453"/>
      <c r="AP85" s="1483"/>
      <c r="AQ85" s="1509"/>
      <c r="AR85" s="1453"/>
      <c r="AS85" s="1453"/>
      <c r="AT85" s="1451"/>
    </row>
    <row r="86" spans="1:46" ht="11.25">
      <c r="A86" s="1971" t="s">
        <v>396</v>
      </c>
      <c r="B86" s="1972"/>
      <c r="C86" s="1972"/>
      <c r="D86" s="1972"/>
      <c r="E86" s="1972"/>
      <c r="F86" s="1972"/>
      <c r="G86" s="1972"/>
      <c r="H86" s="1972"/>
      <c r="I86" s="1972"/>
      <c r="J86" s="1972"/>
      <c r="K86" s="1972"/>
      <c r="L86" s="1972"/>
      <c r="M86" s="1972"/>
      <c r="N86" s="1972"/>
      <c r="O86" s="1973"/>
      <c r="P86" s="1417"/>
      <c r="Q86" s="1418"/>
      <c r="R86" s="1419"/>
      <c r="S86" s="1420"/>
      <c r="T86" s="1421"/>
      <c r="U86" s="1419"/>
      <c r="V86" s="1375"/>
      <c r="W86" s="1376"/>
      <c r="X86" s="1376"/>
      <c r="Y86" s="1377"/>
      <c r="AB86" s="1422"/>
      <c r="AC86" s="1422"/>
      <c r="AK86" s="1448"/>
      <c r="AL86" s="1449"/>
      <c r="AM86" s="1511"/>
      <c r="AN86" s="1453"/>
      <c r="AO86" s="1453"/>
      <c r="AP86" s="1483"/>
      <c r="AQ86" s="1509"/>
      <c r="AR86" s="1453"/>
      <c r="AS86" s="1453"/>
      <c r="AT86" s="1451"/>
    </row>
    <row r="87" spans="1:46" ht="11.25">
      <c r="A87" s="1424"/>
      <c r="B87" s="1425"/>
      <c r="C87" s="1426" t="s">
        <v>256</v>
      </c>
      <c r="D87" s="1426" t="s">
        <v>257</v>
      </c>
      <c r="E87" s="1427" t="s">
        <v>258</v>
      </c>
      <c r="F87" s="1427" t="s">
        <v>259</v>
      </c>
      <c r="G87" s="1427" t="s">
        <v>260</v>
      </c>
      <c r="H87" s="1427" t="s">
        <v>261</v>
      </c>
      <c r="I87" s="1427" t="s">
        <v>262</v>
      </c>
      <c r="J87" s="1427" t="s">
        <v>263</v>
      </c>
      <c r="K87" s="1974" t="s">
        <v>264</v>
      </c>
      <c r="L87" s="1975"/>
      <c r="M87" s="1975"/>
      <c r="N87" s="1975" t="s">
        <v>265</v>
      </c>
      <c r="O87" s="1976"/>
      <c r="P87" s="1475"/>
      <c r="Q87" s="1476"/>
      <c r="R87" s="1430" t="s">
        <v>266</v>
      </c>
      <c r="S87" s="1430" t="s">
        <v>267</v>
      </c>
      <c r="T87" s="1430"/>
      <c r="U87" s="1430"/>
      <c r="V87" s="1977" t="s">
        <v>268</v>
      </c>
      <c r="W87" s="1978"/>
      <c r="X87" s="1978"/>
      <c r="Y87" s="1979"/>
      <c r="AB87" s="1422"/>
      <c r="AC87" s="1422"/>
      <c r="AK87" s="1448"/>
      <c r="AL87" s="1449"/>
      <c r="AM87" s="1511"/>
      <c r="AN87" s="1453"/>
      <c r="AO87" s="1453"/>
      <c r="AP87" s="1483"/>
      <c r="AQ87" s="1509"/>
      <c r="AR87" s="1453"/>
      <c r="AS87" s="1453"/>
      <c r="AT87" s="1451"/>
    </row>
    <row r="88" spans="1:46" ht="14.25" customHeight="1">
      <c r="A88" s="1436" t="s">
        <v>269</v>
      </c>
      <c r="B88" s="1430" t="s">
        <v>270</v>
      </c>
      <c r="C88" s="1436" t="s">
        <v>271</v>
      </c>
      <c r="D88" s="1436"/>
      <c r="E88" s="1436"/>
      <c r="F88" s="1436"/>
      <c r="G88" s="1436"/>
      <c r="H88" s="1436"/>
      <c r="I88" s="1436"/>
      <c r="J88" s="1436"/>
      <c r="K88" s="1436" t="s">
        <v>272</v>
      </c>
      <c r="L88" s="1429" t="s">
        <v>273</v>
      </c>
      <c r="M88" s="1430" t="s">
        <v>274</v>
      </c>
      <c r="N88" s="1430" t="s">
        <v>275</v>
      </c>
      <c r="O88" s="1430" t="s">
        <v>276</v>
      </c>
      <c r="P88" s="1437" t="s">
        <v>277</v>
      </c>
      <c r="Q88" s="1437" t="s">
        <v>278</v>
      </c>
      <c r="R88" s="1438" t="s">
        <v>279</v>
      </c>
      <c r="S88" s="1438" t="s">
        <v>280</v>
      </c>
      <c r="T88" s="1438" t="s">
        <v>281</v>
      </c>
      <c r="U88" s="1438" t="s">
        <v>282</v>
      </c>
      <c r="V88" s="1378" t="s">
        <v>283</v>
      </c>
      <c r="W88" s="1378" t="s">
        <v>284</v>
      </c>
      <c r="X88" s="1378" t="s">
        <v>285</v>
      </c>
      <c r="Y88" s="1378" t="s">
        <v>286</v>
      </c>
      <c r="AB88" s="1422"/>
      <c r="AC88" s="1422"/>
      <c r="AK88" s="1448"/>
      <c r="AL88" s="1449"/>
      <c r="AM88" s="1511"/>
      <c r="AN88" s="1453"/>
      <c r="AO88" s="1453"/>
      <c r="AP88" s="1483"/>
      <c r="AQ88" s="1509"/>
      <c r="AR88" s="1453"/>
      <c r="AS88" s="1453"/>
      <c r="AT88" s="1451"/>
    </row>
    <row r="89" spans="1:46" ht="14.25" customHeight="1">
      <c r="A89" s="1439"/>
      <c r="B89" s="1440"/>
      <c r="C89" s="1439" t="s">
        <v>397</v>
      </c>
      <c r="D89" s="1439"/>
      <c r="E89" s="1439"/>
      <c r="F89" s="1439"/>
      <c r="G89" s="1439"/>
      <c r="H89" s="1439"/>
      <c r="I89" s="1439"/>
      <c r="J89" s="1439"/>
      <c r="K89" s="1442" t="s">
        <v>398</v>
      </c>
      <c r="L89" s="1442">
        <v>2125617</v>
      </c>
      <c r="M89" s="1442"/>
      <c r="N89" s="1442"/>
      <c r="O89" s="1443">
        <f>+L89-99658.54-400000-458536.59-900000+458536.59-122768.233</f>
        <v>603190.22699999996</v>
      </c>
      <c r="P89" s="1442">
        <v>33159625.199999999</v>
      </c>
      <c r="Q89" s="1442">
        <f>+L89</f>
        <v>2125617</v>
      </c>
      <c r="R89" s="1442">
        <f>+P89</f>
        <v>33159625.199999999</v>
      </c>
      <c r="S89" s="1444">
        <f>+P89/Q89</f>
        <v>15.6</v>
      </c>
      <c r="T89" s="1445" t="s">
        <v>335</v>
      </c>
      <c r="U89" s="1446">
        <v>38517</v>
      </c>
      <c r="V89" s="1358"/>
      <c r="W89" s="1358">
        <f>+R89+1127427.06+11040+170+958.14+11886429.39+11886429.09+11886429.39-3146736.46-13191143.48-15121554.87-29680072.82+15121554.87-4048633.44</f>
        <v>19891922.069999997</v>
      </c>
      <c r="X89" s="1358"/>
      <c r="Y89" s="1358"/>
      <c r="Z89" s="1414" t="s">
        <v>292</v>
      </c>
      <c r="AA89" s="1414" t="s">
        <v>399</v>
      </c>
      <c r="AB89" s="1422"/>
      <c r="AC89" s="1422"/>
      <c r="AJ89" s="1423"/>
      <c r="AK89" s="1448" t="s">
        <v>6028</v>
      </c>
      <c r="AL89" s="1449" t="s">
        <v>5433</v>
      </c>
      <c r="AM89" s="1511" t="s">
        <v>376</v>
      </c>
      <c r="AN89" s="1453" t="s">
        <v>5434</v>
      </c>
      <c r="AO89" s="1453" t="s">
        <v>5434</v>
      </c>
      <c r="AP89" s="1483" t="s">
        <v>5393</v>
      </c>
      <c r="AQ89" s="1452">
        <v>603190.23</v>
      </c>
      <c r="AR89" s="1453" t="s">
        <v>5435</v>
      </c>
      <c r="AS89" s="1453" t="s">
        <v>5436</v>
      </c>
      <c r="AT89" s="1483" t="s">
        <v>5437</v>
      </c>
    </row>
    <row r="90" spans="1:46" ht="14.25" customHeight="1">
      <c r="A90" s="1439"/>
      <c r="B90" s="1440"/>
      <c r="C90" s="1472" t="s">
        <v>398</v>
      </c>
      <c r="D90" s="1472"/>
      <c r="E90" s="1472"/>
      <c r="F90" s="1472"/>
      <c r="G90" s="1472"/>
      <c r="H90" s="1472"/>
      <c r="I90" s="1472"/>
      <c r="J90" s="1472"/>
      <c r="K90" s="1472" t="s">
        <v>98</v>
      </c>
      <c r="L90" s="1455">
        <f t="shared" ref="L90:R90" si="15">SUM(L89:L89)</f>
        <v>2125617</v>
      </c>
      <c r="M90" s="1381">
        <f t="shared" si="15"/>
        <v>0</v>
      </c>
      <c r="N90" s="1455">
        <f t="shared" si="15"/>
        <v>0</v>
      </c>
      <c r="O90" s="1455">
        <f t="shared" si="15"/>
        <v>603190.22699999996</v>
      </c>
      <c r="P90" s="1455">
        <f t="shared" si="15"/>
        <v>33159625.199999999</v>
      </c>
      <c r="Q90" s="1455">
        <f t="shared" si="15"/>
        <v>2125617</v>
      </c>
      <c r="R90" s="1455">
        <f t="shared" si="15"/>
        <v>33159625.199999999</v>
      </c>
      <c r="S90" s="1455"/>
      <c r="T90" s="1455"/>
      <c r="U90" s="1455"/>
      <c r="V90" s="1371">
        <f>SUM(V89)</f>
        <v>0</v>
      </c>
      <c r="W90" s="1371">
        <f>SUM(W89)</f>
        <v>19891922.069999997</v>
      </c>
      <c r="X90" s="1371">
        <f>SUM(X89)</f>
        <v>0</v>
      </c>
      <c r="Y90" s="1371">
        <f>SUM(Y89)</f>
        <v>0</v>
      </c>
      <c r="AB90" s="1422"/>
      <c r="AC90" s="1422"/>
      <c r="AK90" s="1448"/>
      <c r="AL90" s="1449"/>
      <c r="AM90" s="1511"/>
      <c r="AN90" s="1453"/>
      <c r="AO90" s="1453"/>
      <c r="AP90" s="1483"/>
      <c r="AQ90" s="1452"/>
      <c r="AR90" s="1453"/>
      <c r="AS90" s="1453"/>
      <c r="AT90" s="1483"/>
    </row>
    <row r="91" spans="1:46" ht="11.25">
      <c r="A91" s="1415"/>
      <c r="B91" s="1415"/>
      <c r="C91" s="1415"/>
      <c r="D91" s="1415"/>
      <c r="E91" s="1415"/>
      <c r="F91" s="1415"/>
      <c r="G91" s="1415"/>
      <c r="H91" s="1415"/>
      <c r="I91" s="1415"/>
      <c r="J91" s="1415"/>
      <c r="K91" s="1468" t="s">
        <v>365</v>
      </c>
      <c r="L91" s="1498">
        <f>L66+L72+L84+L90</f>
        <v>9538021.0850000009</v>
      </c>
      <c r="M91" s="1498">
        <f>M66+M72+M84+M90</f>
        <v>3006.15</v>
      </c>
      <c r="N91" s="1498">
        <f>N66+N72+N84+N90</f>
        <v>3006.15</v>
      </c>
      <c r="O91" s="1498">
        <f>O66+O72+O84+O90+O78</f>
        <v>6419650.118999999</v>
      </c>
      <c r="P91" s="1498"/>
      <c r="Q91" s="1498"/>
      <c r="R91" s="1498"/>
      <c r="S91" s="1498"/>
      <c r="T91" s="1498">
        <f>T66+T72+T84+T90</f>
        <v>0</v>
      </c>
      <c r="U91" s="1498">
        <f>U66+U72+U84+U90</f>
        <v>0</v>
      </c>
      <c r="V91" s="1498">
        <f>V66+V72+V84+V90+V78</f>
        <v>14702020.630000001</v>
      </c>
      <c r="W91" s="1498">
        <f>W66+W72+W84+W90+W78</f>
        <v>97572945.776811883</v>
      </c>
      <c r="X91" s="1498">
        <f>X66+X72+X84+X90+X78</f>
        <v>0</v>
      </c>
      <c r="Y91" s="1498">
        <f>Y66+Y72+Y84+Y90+Y78</f>
        <v>0</v>
      </c>
      <c r="AK91" s="1448"/>
      <c r="AL91" s="1449"/>
      <c r="AM91" s="1511"/>
      <c r="AN91" s="1453"/>
      <c r="AO91" s="1453"/>
      <c r="AP91" s="1483"/>
      <c r="AQ91" s="1452"/>
      <c r="AR91" s="1453"/>
      <c r="AS91" s="1453"/>
      <c r="AT91" s="1483"/>
    </row>
    <row r="92" spans="1:46" ht="11.25">
      <c r="A92" s="1415"/>
      <c r="B92" s="1415"/>
      <c r="C92" s="1415"/>
      <c r="D92" s="1415"/>
      <c r="E92" s="1415"/>
      <c r="F92" s="1415"/>
      <c r="G92" s="1415"/>
      <c r="H92" s="1415"/>
      <c r="I92" s="1415"/>
      <c r="J92" s="1415"/>
      <c r="K92" s="1416"/>
      <c r="L92" s="1415"/>
      <c r="M92" s="1415"/>
      <c r="N92" s="1415"/>
      <c r="O92" s="1415"/>
      <c r="P92" s="1415"/>
      <c r="Q92" s="1415"/>
      <c r="R92" s="1415"/>
      <c r="AK92" s="1448"/>
      <c r="AL92" s="1449"/>
      <c r="AM92" s="1511"/>
      <c r="AN92" s="1453"/>
      <c r="AO92" s="1453"/>
      <c r="AP92" s="1483"/>
      <c r="AQ92" s="1452"/>
      <c r="AR92" s="1453"/>
      <c r="AS92" s="1453"/>
      <c r="AT92" s="1483"/>
    </row>
    <row r="93" spans="1:46" ht="11.25">
      <c r="A93" s="1415"/>
      <c r="B93" s="1415"/>
      <c r="C93" s="1415"/>
      <c r="D93" s="1415"/>
      <c r="E93" s="1415"/>
      <c r="F93" s="1415"/>
      <c r="G93" s="1415"/>
      <c r="H93" s="1415"/>
      <c r="I93" s="1415"/>
      <c r="J93" s="1415"/>
      <c r="K93" s="1416"/>
      <c r="L93" s="1415"/>
      <c r="M93" s="1415"/>
      <c r="N93" s="1415"/>
      <c r="O93" s="1415"/>
      <c r="P93" s="1415"/>
      <c r="Q93" s="1415"/>
      <c r="R93" s="1415"/>
      <c r="V93" s="1366"/>
      <c r="W93" s="1366"/>
      <c r="X93" s="1366"/>
      <c r="Y93" s="1366"/>
      <c r="AK93" s="1448"/>
      <c r="AL93" s="1449"/>
      <c r="AM93" s="1511"/>
      <c r="AN93" s="1453"/>
      <c r="AO93" s="1453"/>
      <c r="AP93" s="1483"/>
      <c r="AQ93" s="1452"/>
      <c r="AR93" s="1453"/>
      <c r="AS93" s="1453"/>
      <c r="AT93" s="1483"/>
    </row>
    <row r="94" spans="1:46" ht="13.15" customHeight="1">
      <c r="A94" s="1503"/>
      <c r="C94" s="1468"/>
      <c r="D94" s="1468"/>
      <c r="E94" s="1468"/>
      <c r="F94" s="1468"/>
      <c r="G94" s="1468"/>
      <c r="H94" s="1468"/>
      <c r="I94" s="1468"/>
      <c r="J94" s="1468"/>
      <c r="K94" s="1499"/>
      <c r="L94" s="1467"/>
      <c r="M94" s="1467"/>
      <c r="N94" s="1467"/>
      <c r="O94" s="1512"/>
      <c r="P94" s="1513"/>
      <c r="Q94" s="1467"/>
      <c r="R94" s="1512"/>
      <c r="S94" s="1513"/>
      <c r="T94" s="1467"/>
      <c r="U94" s="1512"/>
      <c r="V94" s="1382"/>
      <c r="W94" s="1368"/>
      <c r="X94" s="1368"/>
      <c r="Y94" s="1383"/>
      <c r="AB94" s="1422"/>
      <c r="AC94" s="1422"/>
      <c r="AK94" s="1448"/>
      <c r="AL94" s="1449"/>
      <c r="AM94" s="1511"/>
      <c r="AN94" s="1453"/>
      <c r="AO94" s="1453"/>
      <c r="AP94" s="1483"/>
      <c r="AQ94" s="1452"/>
      <c r="AR94" s="1453"/>
      <c r="AS94" s="1453"/>
      <c r="AT94" s="1483"/>
    </row>
    <row r="95" spans="1:46" ht="9.75" customHeight="1">
      <c r="A95" s="1971" t="s">
        <v>99</v>
      </c>
      <c r="B95" s="1972"/>
      <c r="C95" s="1972"/>
      <c r="D95" s="1972"/>
      <c r="E95" s="1972"/>
      <c r="F95" s="1972"/>
      <c r="G95" s="1972"/>
      <c r="H95" s="1972"/>
      <c r="I95" s="1972"/>
      <c r="J95" s="1972"/>
      <c r="K95" s="1972"/>
      <c r="L95" s="1972"/>
      <c r="M95" s="1972"/>
      <c r="N95" s="1972"/>
      <c r="O95" s="1973"/>
      <c r="P95" s="1417"/>
      <c r="Q95" s="1418"/>
      <c r="R95" s="1419"/>
      <c r="S95" s="1420"/>
      <c r="T95" s="1421"/>
      <c r="U95" s="1419"/>
      <c r="V95" s="1375"/>
      <c r="W95" s="1376"/>
      <c r="X95" s="1376"/>
      <c r="Y95" s="1377"/>
      <c r="AB95" s="1422"/>
      <c r="AC95" s="1422"/>
      <c r="AF95" s="1423">
        <f>N130</f>
        <v>432297.50800000003</v>
      </c>
      <c r="AG95" s="1423">
        <v>3020830.25</v>
      </c>
      <c r="AK95" s="1448"/>
      <c r="AL95" s="1449"/>
      <c r="AM95" s="1511"/>
      <c r="AN95" s="1453"/>
      <c r="AO95" s="1453"/>
      <c r="AP95" s="1483"/>
      <c r="AQ95" s="1452"/>
      <c r="AR95" s="1453"/>
      <c r="AS95" s="1453"/>
      <c r="AT95" s="1483"/>
    </row>
    <row r="96" spans="1:46" ht="13.15" customHeight="1">
      <c r="A96" s="1985" t="s">
        <v>256</v>
      </c>
      <c r="B96" s="1986"/>
      <c r="C96" s="1987"/>
      <c r="D96" s="1426" t="s">
        <v>257</v>
      </c>
      <c r="E96" s="1427" t="s">
        <v>258</v>
      </c>
      <c r="F96" s="1427" t="s">
        <v>259</v>
      </c>
      <c r="G96" s="1427" t="s">
        <v>260</v>
      </c>
      <c r="H96" s="1427" t="s">
        <v>261</v>
      </c>
      <c r="I96" s="1427" t="s">
        <v>262</v>
      </c>
      <c r="J96" s="1427" t="s">
        <v>263</v>
      </c>
      <c r="K96" s="1974" t="s">
        <v>264</v>
      </c>
      <c r="L96" s="1975"/>
      <c r="M96" s="1975"/>
      <c r="N96" s="1975" t="s">
        <v>265</v>
      </c>
      <c r="O96" s="1976"/>
      <c r="P96" s="1475"/>
      <c r="Q96" s="1475"/>
      <c r="R96" s="1430" t="s">
        <v>367</v>
      </c>
      <c r="S96" s="1430" t="s">
        <v>267</v>
      </c>
      <c r="T96" s="1430"/>
      <c r="U96" s="1430"/>
      <c r="V96" s="1977" t="s">
        <v>268</v>
      </c>
      <c r="W96" s="1978"/>
      <c r="X96" s="1978"/>
      <c r="Y96" s="1979"/>
      <c r="AB96" s="1422"/>
      <c r="AC96" s="1422"/>
      <c r="AF96" s="1432">
        <v>1</v>
      </c>
      <c r="AK96" s="1448"/>
      <c r="AL96" s="1449"/>
      <c r="AM96" s="1511"/>
      <c r="AN96" s="1453"/>
      <c r="AO96" s="1453"/>
      <c r="AP96" s="1483"/>
      <c r="AQ96" s="1452"/>
      <c r="AR96" s="1453"/>
      <c r="AS96" s="1453"/>
      <c r="AT96" s="1483"/>
    </row>
    <row r="97" spans="1:46" ht="13.15" customHeight="1">
      <c r="A97" s="1470">
        <v>2</v>
      </c>
      <c r="B97" s="1471" t="s">
        <v>270</v>
      </c>
      <c r="C97" s="1470" t="s">
        <v>271</v>
      </c>
      <c r="D97" s="1470"/>
      <c r="E97" s="1470"/>
      <c r="F97" s="1470"/>
      <c r="G97" s="1470"/>
      <c r="H97" s="1470"/>
      <c r="I97" s="1470"/>
      <c r="J97" s="1470"/>
      <c r="K97" s="1479" t="s">
        <v>272</v>
      </c>
      <c r="L97" s="1496" t="s">
        <v>370</v>
      </c>
      <c r="M97" s="1471" t="s">
        <v>274</v>
      </c>
      <c r="N97" s="1471" t="s">
        <v>371</v>
      </c>
      <c r="O97" s="1471" t="s">
        <v>276</v>
      </c>
      <c r="P97" s="1437" t="s">
        <v>277</v>
      </c>
      <c r="Q97" s="1437" t="s">
        <v>278</v>
      </c>
      <c r="R97" s="1438" t="s">
        <v>279</v>
      </c>
      <c r="S97" s="1438" t="s">
        <v>280</v>
      </c>
      <c r="T97" s="1438" t="s">
        <v>281</v>
      </c>
      <c r="U97" s="1438" t="s">
        <v>282</v>
      </c>
      <c r="V97" s="1378" t="s">
        <v>283</v>
      </c>
      <c r="W97" s="1378" t="s">
        <v>284</v>
      </c>
      <c r="X97" s="1378" t="s">
        <v>285</v>
      </c>
      <c r="Y97" s="1378" t="s">
        <v>286</v>
      </c>
      <c r="AB97" s="1422"/>
      <c r="AC97" s="1422" t="s">
        <v>400</v>
      </c>
      <c r="AK97" s="1448"/>
      <c r="AL97" s="1449"/>
      <c r="AM97" s="1511"/>
      <c r="AN97" s="1453"/>
      <c r="AO97" s="1453"/>
      <c r="AP97" s="1483"/>
      <c r="AQ97" s="1452"/>
      <c r="AR97" s="1453"/>
      <c r="AS97" s="1453"/>
      <c r="AT97" s="1483"/>
    </row>
    <row r="98" spans="1:46" ht="11.25">
      <c r="A98" s="1439">
        <v>1</v>
      </c>
      <c r="B98" s="1440" t="s">
        <v>401</v>
      </c>
      <c r="C98" s="1439" t="s">
        <v>402</v>
      </c>
      <c r="D98" s="1439"/>
      <c r="E98" s="1439"/>
      <c r="F98" s="1439"/>
      <c r="G98" s="1439"/>
      <c r="H98" s="1439"/>
      <c r="I98" s="1439"/>
      <c r="J98" s="1439"/>
      <c r="K98" s="1423" t="s">
        <v>403</v>
      </c>
      <c r="L98" s="1441"/>
      <c r="M98" s="1443">
        <v>2500</v>
      </c>
      <c r="N98" s="1384">
        <v>2500</v>
      </c>
      <c r="O98" s="1424"/>
      <c r="P98" s="1442">
        <v>625000</v>
      </c>
      <c r="Q98" s="1442">
        <v>2500</v>
      </c>
      <c r="R98" s="1442">
        <f>+P98</f>
        <v>625000</v>
      </c>
      <c r="S98" s="1444">
        <f>+P98/Q98</f>
        <v>250</v>
      </c>
      <c r="T98" s="1445" t="s">
        <v>291</v>
      </c>
      <c r="U98" s="1446">
        <v>38581</v>
      </c>
      <c r="V98" s="1358">
        <f>+R98+178.89+494.22+1405.86+2464.4+4887.33+3685.55+9415.79+2301.72+1505.32+3865.34+1510.31+3241.27+1517.97+24342.37+4112.85+2450.5+8736.91+478.1+1148.66-1554.74+12123.09+3019.22-3019.22+2957.24+17469.63</f>
        <v>733738.58</v>
      </c>
      <c r="W98" s="1358"/>
      <c r="X98" s="1358"/>
      <c r="Y98" s="1358"/>
      <c r="Z98" s="1488" t="s">
        <v>292</v>
      </c>
      <c r="AA98" s="1488" t="s">
        <v>404</v>
      </c>
      <c r="AB98" s="1422"/>
      <c r="AC98" s="1422"/>
      <c r="AE98" s="1385">
        <v>2500</v>
      </c>
      <c r="AF98" s="1514">
        <f>((N98*$AF$96)/$AF$95)</f>
        <v>5.7830543867025946E-3</v>
      </c>
      <c r="AG98" s="1423">
        <f t="shared" ref="AG98:AG127" si="16">$AG$95*AF98</f>
        <v>17469.625628746395</v>
      </c>
      <c r="AJ98" s="1431"/>
      <c r="AK98" s="1448" t="s">
        <v>6029</v>
      </c>
      <c r="AL98" s="1449" t="s">
        <v>5438</v>
      </c>
      <c r="AM98" s="1511" t="s">
        <v>5439</v>
      </c>
      <c r="AN98" s="1450" t="s">
        <v>5440</v>
      </c>
      <c r="AO98" s="1450" t="s">
        <v>5440</v>
      </c>
      <c r="AP98" s="1483" t="s">
        <v>5365</v>
      </c>
      <c r="AQ98" s="1452">
        <v>2500</v>
      </c>
      <c r="AR98" s="1453" t="s">
        <v>5441</v>
      </c>
      <c r="AS98" s="1453" t="s">
        <v>5442</v>
      </c>
      <c r="AT98" s="1483"/>
    </row>
    <row r="99" spans="1:46" ht="11.25" hidden="1">
      <c r="A99" s="1439">
        <v>2</v>
      </c>
      <c r="B99" s="1440">
        <v>5</v>
      </c>
      <c r="C99" s="1439" t="s">
        <v>405</v>
      </c>
      <c r="D99" s="1439"/>
      <c r="E99" s="1439"/>
      <c r="F99" s="1439"/>
      <c r="G99" s="1439"/>
      <c r="H99" s="1439"/>
      <c r="I99" s="1439"/>
      <c r="J99" s="1439"/>
      <c r="K99" s="1423" t="s">
        <v>403</v>
      </c>
      <c r="L99" s="1442">
        <v>25487</v>
      </c>
      <c r="M99" s="1442"/>
      <c r="N99" s="1358">
        <f>25487-25487</f>
        <v>0</v>
      </c>
      <c r="O99" s="1424"/>
      <c r="P99" s="1442">
        <v>5832605.1399999997</v>
      </c>
      <c r="Q99" s="1442">
        <v>25467</v>
      </c>
      <c r="R99" s="1358">
        <f>+P99/Q99*L99</f>
        <v>5837185.659998429</v>
      </c>
      <c r="S99" s="1444">
        <f>+P99/Q99</f>
        <v>229.02599992146699</v>
      </c>
      <c r="T99" s="1445" t="s">
        <v>335</v>
      </c>
      <c r="U99" s="1446">
        <v>38406</v>
      </c>
      <c r="V99" s="1358"/>
      <c r="W99" s="1358"/>
      <c r="X99" s="1358"/>
      <c r="Y99" s="1358">
        <f>+R99+456359.94+3037.82+378373.71+9208.31-6684165.44</f>
        <v>-1.5711411833763123E-6</v>
      </c>
      <c r="Z99" s="1414" t="s">
        <v>292</v>
      </c>
      <c r="AA99" s="1414" t="s">
        <v>406</v>
      </c>
      <c r="AB99" s="1422"/>
      <c r="AC99" s="1515" t="e">
        <f>($S$132/$N$132)*N99</f>
        <v>#DIV/0!</v>
      </c>
      <c r="AE99" s="1360"/>
      <c r="AF99" s="1514">
        <f t="shared" ref="AF99:AF127" si="17">((N99*$AF$96)/$AF$95)</f>
        <v>0</v>
      </c>
      <c r="AG99" s="1423">
        <f t="shared" si="16"/>
        <v>0</v>
      </c>
      <c r="AJ99" s="1431"/>
      <c r="AK99" s="1448"/>
      <c r="AL99" s="1449"/>
      <c r="AM99" s="1511"/>
      <c r="AN99" s="1450"/>
      <c r="AO99" s="1450"/>
      <c r="AP99" s="1483"/>
      <c r="AQ99" s="1452"/>
      <c r="AR99" s="1453"/>
      <c r="AS99" s="1453"/>
      <c r="AT99" s="1483"/>
    </row>
    <row r="100" spans="1:46" ht="11.25">
      <c r="A100" s="1439">
        <v>2</v>
      </c>
      <c r="B100" s="1440">
        <v>7</v>
      </c>
      <c r="C100" s="1477" t="s">
        <v>408</v>
      </c>
      <c r="D100" s="1477"/>
      <c r="E100" s="1477"/>
      <c r="F100" s="1477"/>
      <c r="G100" s="1477"/>
      <c r="H100" s="1477"/>
      <c r="I100" s="1477"/>
      <c r="J100" s="1477"/>
      <c r="K100" s="1423" t="s">
        <v>403</v>
      </c>
      <c r="L100" s="1443"/>
      <c r="M100" s="1516">
        <v>1824.85</v>
      </c>
      <c r="N100" s="1358">
        <f>+M100</f>
        <v>1824.85</v>
      </c>
      <c r="O100" s="1424"/>
      <c r="P100" s="1442">
        <v>319348.75</v>
      </c>
      <c r="Q100" s="1442">
        <v>1824.85</v>
      </c>
      <c r="R100" s="1442">
        <f>+P100</f>
        <v>319348.75</v>
      </c>
      <c r="S100" s="1444">
        <f>+P100/Q100</f>
        <v>175</v>
      </c>
      <c r="T100" s="1445" t="s">
        <v>291</v>
      </c>
      <c r="U100" s="1446">
        <v>38581</v>
      </c>
      <c r="V100" s="1358">
        <f>+R100+130.58+360.75+1026.19+1798.86+3567.46+2690.23+6872.96+1680.11+1098.8+2821.47+1102.44+2364.94+1108.03+17768.47+3002.14+1788.72+6377.42+348.99+838.45-1134.87+8849.13+2203.85-2203.85+2158.61+12751.78</f>
        <v>398720.41000000003</v>
      </c>
      <c r="W100" s="1358"/>
      <c r="X100" s="1358"/>
      <c r="Y100" s="1358"/>
      <c r="Z100" s="1414" t="s">
        <v>292</v>
      </c>
      <c r="AA100" s="1414" t="s">
        <v>409</v>
      </c>
      <c r="AB100" s="1422"/>
      <c r="AC100" s="1422"/>
      <c r="AE100" s="1360">
        <v>1824.85</v>
      </c>
      <c r="AF100" s="1514">
        <f t="shared" si="17"/>
        <v>4.2212827190296915E-3</v>
      </c>
      <c r="AG100" s="1423">
        <f t="shared" si="16"/>
        <v>12751.778531447142</v>
      </c>
      <c r="AJ100" s="1431"/>
      <c r="AK100" s="1448" t="s">
        <v>6030</v>
      </c>
      <c r="AL100" s="1449" t="s">
        <v>5363</v>
      </c>
      <c r="AM100" s="1511" t="s">
        <v>5444</v>
      </c>
      <c r="AN100" s="1453" t="s">
        <v>5440</v>
      </c>
      <c r="AO100" s="1453" t="s">
        <v>5440</v>
      </c>
      <c r="AP100" s="1483" t="s">
        <v>5365</v>
      </c>
      <c r="AQ100" s="1361">
        <v>1824.85</v>
      </c>
      <c r="AR100" s="1453" t="s">
        <v>5441</v>
      </c>
      <c r="AS100" s="1453" t="s">
        <v>5442</v>
      </c>
      <c r="AT100" s="1453" t="s">
        <v>5381</v>
      </c>
    </row>
    <row r="101" spans="1:46" ht="11.25">
      <c r="A101" s="1439">
        <v>2</v>
      </c>
      <c r="B101" s="1440" t="s">
        <v>410</v>
      </c>
      <c r="C101" s="1439" t="s">
        <v>385</v>
      </c>
      <c r="D101" s="1439"/>
      <c r="E101" s="1439"/>
      <c r="F101" s="1439"/>
      <c r="G101" s="1439"/>
      <c r="H101" s="1439"/>
      <c r="I101" s="1439"/>
      <c r="J101" s="1439"/>
      <c r="K101" s="1423" t="s">
        <v>403</v>
      </c>
      <c r="L101" s="1442">
        <f>18125.11-12582.44</f>
        <v>5542.67</v>
      </c>
      <c r="M101" s="1359"/>
      <c r="N101" s="1358">
        <f>18125.11-12582.44</f>
        <v>5542.67</v>
      </c>
      <c r="O101" s="1517"/>
      <c r="P101" s="1442"/>
      <c r="Q101" s="1442"/>
      <c r="R101" s="1444">
        <f>+S101*N101</f>
        <v>969967.25</v>
      </c>
      <c r="S101" s="1358">
        <v>175</v>
      </c>
      <c r="T101" s="1439" t="s">
        <v>302</v>
      </c>
      <c r="U101" s="1439"/>
      <c r="V101" s="1358"/>
      <c r="W101" s="1358"/>
      <c r="X101" s="1358"/>
      <c r="Y101" s="1358">
        <f>3171894.25+324795.78+2162.05+269292.22+6548.51-2620389.38+3583.15+10192.54+17867+35433.35+26720.38+68264.91+5103.06+3337.41+8569.73+3348.46+7186.13+3364.45+53968.68+9118.46+5432.93+19370.32+1059.99+2546.65-3446.97+26877.72+6693.82-6693.82+6556.4+38731.35</f>
        <v>1507489.5299999991</v>
      </c>
      <c r="Z101" s="1414" t="s">
        <v>303</v>
      </c>
      <c r="AB101" s="1422"/>
      <c r="AC101" s="1515" t="e">
        <f>($S$132/$N$132)*N101</f>
        <v>#DIV/0!</v>
      </c>
      <c r="AE101" s="1360">
        <v>18125.11</v>
      </c>
      <c r="AF101" s="1514">
        <f t="shared" si="17"/>
        <v>1.2821424823017947E-2</v>
      </c>
      <c r="AG101" s="1423">
        <f t="shared" si="16"/>
        <v>38731.347953473509</v>
      </c>
      <c r="AJ101" s="1431"/>
      <c r="AK101" s="1448" t="s">
        <v>6031</v>
      </c>
      <c r="AL101" s="1449" t="s">
        <v>5363</v>
      </c>
      <c r="AM101" s="1511" t="s">
        <v>5445</v>
      </c>
      <c r="AN101" s="1453" t="s">
        <v>5440</v>
      </c>
      <c r="AO101" s="1453" t="s">
        <v>5440</v>
      </c>
      <c r="AP101" s="1483" t="s">
        <v>5393</v>
      </c>
      <c r="AQ101" s="1361">
        <f>18125.11-12582.44</f>
        <v>5542.67</v>
      </c>
      <c r="AR101" s="1453" t="s">
        <v>5441</v>
      </c>
      <c r="AS101" s="1453" t="s">
        <v>5442</v>
      </c>
      <c r="AT101" s="1453" t="s">
        <v>5381</v>
      </c>
    </row>
    <row r="102" spans="1:46" ht="11.25" hidden="1">
      <c r="A102" s="1439">
        <v>3</v>
      </c>
      <c r="B102" s="1440">
        <v>4</v>
      </c>
      <c r="C102" s="1439" t="s">
        <v>411</v>
      </c>
      <c r="D102" s="1439"/>
      <c r="E102" s="1439"/>
      <c r="F102" s="1439"/>
      <c r="G102" s="1439"/>
      <c r="H102" s="1439"/>
      <c r="I102" s="1439"/>
      <c r="J102" s="1439"/>
      <c r="K102" s="1423" t="s">
        <v>403</v>
      </c>
      <c r="L102" s="1442">
        <v>24308.11</v>
      </c>
      <c r="M102" s="1359"/>
      <c r="N102" s="1358">
        <f>+L102-24308.11</f>
        <v>0</v>
      </c>
      <c r="O102" s="1517"/>
      <c r="P102" s="1442"/>
      <c r="Q102" s="1442"/>
      <c r="R102" s="1358">
        <f t="shared" ref="R102:R107" si="18">+S102*N102</f>
        <v>0</v>
      </c>
      <c r="S102" s="1358">
        <v>175</v>
      </c>
      <c r="T102" s="1439" t="s">
        <v>302</v>
      </c>
      <c r="U102" s="1439"/>
      <c r="V102" s="1358"/>
      <c r="W102" s="1358"/>
      <c r="X102" s="1358"/>
      <c r="Y102" s="1358">
        <v>0</v>
      </c>
      <c r="Z102" s="1414" t="s">
        <v>303</v>
      </c>
      <c r="AB102" s="1422"/>
      <c r="AC102" s="1515" t="e">
        <f>($S$132/$N$132)*N102</f>
        <v>#DIV/0!</v>
      </c>
      <c r="AE102" s="1360">
        <v>24308.11</v>
      </c>
      <c r="AF102" s="1514">
        <f t="shared" si="17"/>
        <v>0</v>
      </c>
      <c r="AG102" s="1423">
        <f t="shared" si="16"/>
        <v>0</v>
      </c>
      <c r="AJ102" s="1431"/>
      <c r="AK102" s="1448"/>
      <c r="AL102" s="1449"/>
      <c r="AM102" s="1511"/>
      <c r="AN102" s="1453"/>
      <c r="AO102" s="1453"/>
      <c r="AP102" s="1483"/>
      <c r="AQ102" s="1361"/>
      <c r="AR102" s="1453"/>
      <c r="AS102" s="1453"/>
      <c r="AT102" s="1453"/>
    </row>
    <row r="103" spans="1:46" ht="11.25">
      <c r="A103" s="1439">
        <v>3</v>
      </c>
      <c r="B103" s="1440">
        <v>5</v>
      </c>
      <c r="C103" s="1439" t="s">
        <v>412</v>
      </c>
      <c r="D103" s="1439"/>
      <c r="E103" s="1439"/>
      <c r="F103" s="1439"/>
      <c r="G103" s="1439"/>
      <c r="H103" s="1439"/>
      <c r="I103" s="1439"/>
      <c r="J103" s="1439"/>
      <c r="K103" s="1423" t="s">
        <v>403</v>
      </c>
      <c r="L103" s="1439"/>
      <c r="M103" s="1442">
        <v>20918.400000000001</v>
      </c>
      <c r="N103" s="1362">
        <v>20918.400000000001</v>
      </c>
      <c r="O103" s="1517"/>
      <c r="P103" s="1442"/>
      <c r="Q103" s="1442"/>
      <c r="R103" s="1358">
        <f t="shared" si="18"/>
        <v>3660720.0000000005</v>
      </c>
      <c r="S103" s="1358">
        <v>175</v>
      </c>
      <c r="T103" s="1439" t="s">
        <v>302</v>
      </c>
      <c r="U103" s="1439"/>
      <c r="V103" s="1358">
        <f>+R103+1496.84+4135.35+11763.33+20620.51+40894.04+30838.3+78785.33+19259.28+12595.59+32342.73+12637.32+27120.91+12701.41+203681.34+34413.46+20504.25+73104.85+4000.46+9611.24-13009.09+101438.26+25262.92-25262.92+24744.28+146174.65</f>
        <v>4570574.6400000006</v>
      </c>
      <c r="W103" s="1358"/>
      <c r="X103" s="1358"/>
      <c r="Y103" s="1358"/>
      <c r="Z103" s="1414" t="s">
        <v>303</v>
      </c>
      <c r="AB103" s="1422"/>
      <c r="AC103" s="1422"/>
      <c r="AE103" s="1363">
        <v>20918.400000000001</v>
      </c>
      <c r="AF103" s="1514">
        <f t="shared" si="17"/>
        <v>4.8388897953119819E-2</v>
      </c>
      <c r="AG103" s="1423">
        <f t="shared" si="16"/>
        <v>146174.64670094743</v>
      </c>
      <c r="AJ103" s="1431"/>
      <c r="AK103" s="1448" t="s">
        <v>6032</v>
      </c>
      <c r="AL103" s="1449" t="s">
        <v>5446</v>
      </c>
      <c r="AM103" s="1518" t="s">
        <v>5447</v>
      </c>
      <c r="AN103" s="1453" t="s">
        <v>5440</v>
      </c>
      <c r="AO103" s="1453" t="s">
        <v>5440</v>
      </c>
      <c r="AP103" s="1451" t="s">
        <v>5365</v>
      </c>
      <c r="AQ103" s="1361">
        <v>20918.400000000001</v>
      </c>
      <c r="AR103" s="1453" t="s">
        <v>5448</v>
      </c>
      <c r="AS103" s="1453" t="s">
        <v>5442</v>
      </c>
      <c r="AT103" s="1453" t="s">
        <v>5381</v>
      </c>
    </row>
    <row r="104" spans="1:46" ht="11.25">
      <c r="A104" s="1439">
        <v>3</v>
      </c>
      <c r="B104" s="1440">
        <v>6</v>
      </c>
      <c r="C104" s="1439" t="s">
        <v>412</v>
      </c>
      <c r="D104" s="1439"/>
      <c r="E104" s="1439"/>
      <c r="F104" s="1439"/>
      <c r="G104" s="1439"/>
      <c r="H104" s="1439"/>
      <c r="I104" s="1439"/>
      <c r="J104" s="1439"/>
      <c r="K104" s="1423" t="s">
        <v>403</v>
      </c>
      <c r="L104" s="1439"/>
      <c r="M104" s="1442">
        <v>20918.400000000001</v>
      </c>
      <c r="N104" s="1362">
        <v>20918.400000000001</v>
      </c>
      <c r="O104" s="1517"/>
      <c r="P104" s="1442"/>
      <c r="Q104" s="1442"/>
      <c r="R104" s="1358">
        <f t="shared" si="18"/>
        <v>3660720.0000000005</v>
      </c>
      <c r="S104" s="1358">
        <v>175</v>
      </c>
      <c r="T104" s="1439" t="s">
        <v>302</v>
      </c>
      <c r="U104" s="1439"/>
      <c r="V104" s="1358">
        <f>+R104+1496.84+4135.35+11763.33+20620.51+40894.04+30838.3+78785.33+19259.28+12595.59+32342.73+12637.32+27120.91+12701.41+203681.34+34413.62+20504.25+73104.85+4000.46+9611.24-13009.09+101438.26+25262.92-25262.92+24744.28+146174.65</f>
        <v>4570574.8</v>
      </c>
      <c r="W104" s="1358"/>
      <c r="X104" s="1358"/>
      <c r="Y104" s="1358"/>
      <c r="Z104" s="1414" t="s">
        <v>303</v>
      </c>
      <c r="AB104" s="1422"/>
      <c r="AC104" s="1422"/>
      <c r="AE104" s="1363">
        <v>20918.400000000001</v>
      </c>
      <c r="AF104" s="1514">
        <f t="shared" si="17"/>
        <v>4.8388897953119819E-2</v>
      </c>
      <c r="AG104" s="1423">
        <f t="shared" si="16"/>
        <v>146174.64670094743</v>
      </c>
      <c r="AJ104" s="1431"/>
      <c r="AK104" s="1448" t="s">
        <v>6033</v>
      </c>
      <c r="AL104" s="1449" t="s">
        <v>5446</v>
      </c>
      <c r="AM104" s="1518" t="s">
        <v>5449</v>
      </c>
      <c r="AN104" s="1453" t="s">
        <v>5440</v>
      </c>
      <c r="AO104" s="1453" t="s">
        <v>5440</v>
      </c>
      <c r="AP104" s="1451" t="s">
        <v>5365</v>
      </c>
      <c r="AQ104" s="1361">
        <v>20918.400000000001</v>
      </c>
      <c r="AR104" s="1453" t="s">
        <v>5448</v>
      </c>
      <c r="AS104" s="1453" t="s">
        <v>5442</v>
      </c>
      <c r="AT104" s="1453" t="s">
        <v>5381</v>
      </c>
    </row>
    <row r="105" spans="1:46" ht="11.25">
      <c r="A105" s="1439">
        <v>3</v>
      </c>
      <c r="B105" s="1440">
        <v>7</v>
      </c>
      <c r="C105" s="1439" t="s">
        <v>412</v>
      </c>
      <c r="D105" s="1439"/>
      <c r="E105" s="1439"/>
      <c r="F105" s="1439"/>
      <c r="G105" s="1439"/>
      <c r="H105" s="1439"/>
      <c r="I105" s="1439"/>
      <c r="J105" s="1439"/>
      <c r="K105" s="1423" t="s">
        <v>403</v>
      </c>
      <c r="L105" s="1439"/>
      <c r="M105" s="1442">
        <v>20918.400000000001</v>
      </c>
      <c r="N105" s="1362">
        <v>20918.400000000001</v>
      </c>
      <c r="O105" s="1517"/>
      <c r="P105" s="1442"/>
      <c r="Q105" s="1442"/>
      <c r="R105" s="1358">
        <f t="shared" si="18"/>
        <v>3660720.0000000005</v>
      </c>
      <c r="S105" s="1358">
        <v>175</v>
      </c>
      <c r="T105" s="1439" t="s">
        <v>302</v>
      </c>
      <c r="U105" s="1439"/>
      <c r="V105" s="1358">
        <f>+R105+1496.84+4135.35+11763.33+20620.51+40894.04+30838.3+78785.33+19259.28+12595.59+32342.73+12637.32+27120.91+12701.41+203681.34+34413.62+20504.25+73104.85+4000.46+9611.24-13009.09+101438.26+25262.92-25262.92+24744.28+146174.65</f>
        <v>4570574.8</v>
      </c>
      <c r="W105" s="1358"/>
      <c r="X105" s="1358"/>
      <c r="Y105" s="1358"/>
      <c r="Z105" s="1414" t="s">
        <v>303</v>
      </c>
      <c r="AB105" s="1422"/>
      <c r="AC105" s="1422"/>
      <c r="AE105" s="1363">
        <v>20918.400000000001</v>
      </c>
      <c r="AF105" s="1514">
        <f t="shared" si="17"/>
        <v>4.8388897953119819E-2</v>
      </c>
      <c r="AG105" s="1423">
        <f t="shared" si="16"/>
        <v>146174.64670094743</v>
      </c>
      <c r="AJ105" s="1431"/>
      <c r="AK105" s="1448" t="s">
        <v>6034</v>
      </c>
      <c r="AL105" s="1449" t="s">
        <v>5446</v>
      </c>
      <c r="AM105" s="1518" t="s">
        <v>5444</v>
      </c>
      <c r="AN105" s="1453" t="s">
        <v>5440</v>
      </c>
      <c r="AO105" s="1453" t="s">
        <v>5440</v>
      </c>
      <c r="AP105" s="1451" t="s">
        <v>5365</v>
      </c>
      <c r="AQ105" s="1361">
        <v>20918.400000000001</v>
      </c>
      <c r="AR105" s="1453" t="s">
        <v>5448</v>
      </c>
      <c r="AS105" s="1453" t="s">
        <v>5442</v>
      </c>
      <c r="AT105" s="1453" t="s">
        <v>5381</v>
      </c>
    </row>
    <row r="106" spans="1:46" ht="11.25">
      <c r="A106" s="1439">
        <v>3</v>
      </c>
      <c r="B106" s="1440">
        <v>8</v>
      </c>
      <c r="C106" s="1439" t="s">
        <v>412</v>
      </c>
      <c r="D106" s="1439"/>
      <c r="E106" s="1439"/>
      <c r="F106" s="1439"/>
      <c r="G106" s="1439"/>
      <c r="H106" s="1439"/>
      <c r="I106" s="1439"/>
      <c r="J106" s="1439"/>
      <c r="K106" s="1423" t="s">
        <v>403</v>
      </c>
      <c r="L106" s="1439"/>
      <c r="M106" s="1442">
        <v>48304.57</v>
      </c>
      <c r="N106" s="1362">
        <v>48304.57</v>
      </c>
      <c r="O106" s="1517"/>
      <c r="P106" s="1442"/>
      <c r="Q106" s="1442"/>
      <c r="R106" s="1358">
        <f t="shared" si="18"/>
        <v>8453299.75</v>
      </c>
      <c r="S106" s="1358">
        <v>175</v>
      </c>
      <c r="T106" s="1439" t="s">
        <v>302</v>
      </c>
      <c r="U106" s="1439"/>
      <c r="V106" s="1358">
        <f>+R106+3456.5+9549.31+27163.77+47616.68+94432.12+71211.52+181930.34+44473.35+29085.61+74685.5+29181.98+62628.35+29329.98+470339.01+79467.6+47348.21+168813.01+9237.83+22194.17-30040.46+234240.26+58336.92-58336.92+57139.23+337545.09</f>
        <v>10554328.709999997</v>
      </c>
      <c r="W106" s="1358"/>
      <c r="X106" s="1358"/>
      <c r="Y106" s="1358"/>
      <c r="Z106" s="1414" t="s">
        <v>303</v>
      </c>
      <c r="AB106" s="1422"/>
      <c r="AC106" s="1422"/>
      <c r="AE106" s="1363">
        <v>48304.57</v>
      </c>
      <c r="AF106" s="1514">
        <f t="shared" si="17"/>
        <v>0.11173918217451301</v>
      </c>
      <c r="AG106" s="1423">
        <f t="shared" si="16"/>
        <v>337545.10162302968</v>
      </c>
      <c r="AJ106" s="1431"/>
      <c r="AK106" s="1448" t="s">
        <v>6035</v>
      </c>
      <c r="AL106" s="1449" t="s">
        <v>5446</v>
      </c>
      <c r="AM106" s="1518" t="s">
        <v>5450</v>
      </c>
      <c r="AN106" s="1453" t="s">
        <v>5440</v>
      </c>
      <c r="AO106" s="1453" t="s">
        <v>5440</v>
      </c>
      <c r="AP106" s="1451" t="s">
        <v>5365</v>
      </c>
      <c r="AQ106" s="1361">
        <v>48304.57</v>
      </c>
      <c r="AR106" s="1453" t="s">
        <v>5448</v>
      </c>
      <c r="AS106" s="1453" t="s">
        <v>5442</v>
      </c>
      <c r="AT106" s="1453" t="s">
        <v>5381</v>
      </c>
    </row>
    <row r="107" spans="1:46" ht="11.25">
      <c r="A107" s="1439">
        <v>3</v>
      </c>
      <c r="B107" s="1440">
        <v>9</v>
      </c>
      <c r="C107" s="1439" t="s">
        <v>412</v>
      </c>
      <c r="D107" s="1439"/>
      <c r="E107" s="1439"/>
      <c r="F107" s="1439"/>
      <c r="G107" s="1439"/>
      <c r="H107" s="1439"/>
      <c r="I107" s="1439"/>
      <c r="J107" s="1439"/>
      <c r="K107" s="1423" t="s">
        <v>403</v>
      </c>
      <c r="L107" s="1439"/>
      <c r="M107" s="1442">
        <v>35451.9</v>
      </c>
      <c r="N107" s="1362">
        <v>35451.9</v>
      </c>
      <c r="O107" s="1517"/>
      <c r="P107" s="1442"/>
      <c r="Q107" s="1442"/>
      <c r="R107" s="1358">
        <f t="shared" si="18"/>
        <v>6204082.5</v>
      </c>
      <c r="S107" s="1358">
        <v>175</v>
      </c>
      <c r="T107" s="1439" t="s">
        <v>302</v>
      </c>
      <c r="U107" s="1439"/>
      <c r="V107" s="1358">
        <f>+R107+2535.81+7008.47+19936.15+34947.04+69306.03+52263.88+133523.1+32640.07+21346.64+54813.52+21417.36+45963.74+21525.98+345193.25+58323.21+34750.01+123895.97+6779.87+16288.85-22047.42+171914.63+42814.88-42814.88+41935.88+247732.57</f>
        <v>7746077.1099999994</v>
      </c>
      <c r="W107" s="1358"/>
      <c r="X107" s="1358"/>
      <c r="Y107" s="1358"/>
      <c r="Z107" s="1414" t="s">
        <v>303</v>
      </c>
      <c r="AB107" s="1422"/>
      <c r="AC107" s="1422"/>
      <c r="AE107" s="1363">
        <v>35451.9</v>
      </c>
      <c r="AF107" s="1514">
        <f t="shared" si="17"/>
        <v>8.2008106324776689E-2</v>
      </c>
      <c r="AG107" s="1423">
        <f t="shared" si="16"/>
        <v>247732.56833110173</v>
      </c>
      <c r="AJ107" s="1431"/>
      <c r="AK107" s="1448" t="s">
        <v>6036</v>
      </c>
      <c r="AL107" s="1449" t="s">
        <v>5446</v>
      </c>
      <c r="AM107" s="1518" t="s">
        <v>5451</v>
      </c>
      <c r="AN107" s="1453" t="s">
        <v>5440</v>
      </c>
      <c r="AO107" s="1453" t="s">
        <v>5440</v>
      </c>
      <c r="AP107" s="1451" t="s">
        <v>5365</v>
      </c>
      <c r="AQ107" s="1361">
        <v>35451.9</v>
      </c>
      <c r="AR107" s="1453" t="s">
        <v>5448</v>
      </c>
      <c r="AS107" s="1453" t="s">
        <v>5442</v>
      </c>
      <c r="AT107" s="1453" t="s">
        <v>5381</v>
      </c>
    </row>
    <row r="108" spans="1:46" ht="11.25">
      <c r="A108" s="1439">
        <v>4</v>
      </c>
      <c r="B108" s="1440" t="s">
        <v>413</v>
      </c>
      <c r="C108" s="1439" t="s">
        <v>414</v>
      </c>
      <c r="D108" s="1439"/>
      <c r="E108" s="1439"/>
      <c r="F108" s="1439"/>
      <c r="G108" s="1439"/>
      <c r="H108" s="1439"/>
      <c r="I108" s="1439"/>
      <c r="J108" s="1439"/>
      <c r="K108" s="1423" t="s">
        <v>403</v>
      </c>
      <c r="L108" s="1442"/>
      <c r="M108" s="1442">
        <v>490.98</v>
      </c>
      <c r="N108" s="1358">
        <v>490.98</v>
      </c>
      <c r="O108" s="1424"/>
      <c r="P108" s="1442">
        <v>368235</v>
      </c>
      <c r="Q108" s="1442">
        <v>490.98</v>
      </c>
      <c r="R108" s="1442">
        <f>+P108</f>
        <v>368235</v>
      </c>
      <c r="S108" s="1444">
        <f>+P108/Q108</f>
        <v>750</v>
      </c>
      <c r="T108" s="1445" t="s">
        <v>291</v>
      </c>
      <c r="U108" s="1446">
        <v>38581</v>
      </c>
      <c r="V108" s="1358">
        <f>+R108+35.13+97.06+276.1+483.99+959.83+723.81+1849.18+452.04+295.63+759.12+296.61+636.56+298.12+4780.65+807.74+481.26+1715.86+93.9+225.59-305.34+2380.88+592.95-592.95+580.78+3430.89</f>
        <v>389590.39</v>
      </c>
      <c r="W108" s="1358"/>
      <c r="X108" s="1358"/>
      <c r="Y108" s="1358"/>
      <c r="Z108" s="1414" t="s">
        <v>292</v>
      </c>
      <c r="AA108" s="1414" t="s">
        <v>415</v>
      </c>
      <c r="AB108" s="1422"/>
      <c r="AC108" s="1422"/>
      <c r="AE108" s="1360">
        <v>490.98</v>
      </c>
      <c r="AF108" s="1514">
        <f t="shared" si="17"/>
        <v>1.1357456171132959E-3</v>
      </c>
      <c r="AG108" s="1423">
        <f t="shared" si="16"/>
        <v>3430.8947164807619</v>
      </c>
      <c r="AJ108" s="1431"/>
      <c r="AK108" s="1448" t="s">
        <v>6037</v>
      </c>
      <c r="AL108" s="1449" t="s">
        <v>5417</v>
      </c>
      <c r="AM108" s="1518" t="s">
        <v>5452</v>
      </c>
      <c r="AN108" s="1453" t="s">
        <v>5440</v>
      </c>
      <c r="AO108" s="1453" t="s">
        <v>5440</v>
      </c>
      <c r="AP108" s="1451" t="s">
        <v>5365</v>
      </c>
      <c r="AQ108" s="1361">
        <v>490.98</v>
      </c>
      <c r="AR108" s="1453" t="s">
        <v>5453</v>
      </c>
      <c r="AS108" s="1453" t="s">
        <v>5442</v>
      </c>
      <c r="AT108" s="1453" t="s">
        <v>5381</v>
      </c>
    </row>
    <row r="109" spans="1:46" ht="11.25" hidden="1">
      <c r="A109" s="1439">
        <v>6</v>
      </c>
      <c r="B109" s="1440">
        <v>1</v>
      </c>
      <c r="C109" s="1439" t="s">
        <v>416</v>
      </c>
      <c r="D109" s="1439"/>
      <c r="E109" s="1439"/>
      <c r="F109" s="1439"/>
      <c r="G109" s="1439"/>
      <c r="H109" s="1439"/>
      <c r="I109" s="1439"/>
      <c r="J109" s="1439"/>
      <c r="K109" s="1423" t="s">
        <v>403</v>
      </c>
      <c r="L109" s="1442">
        <v>1302.51</v>
      </c>
      <c r="M109" s="1442"/>
      <c r="N109" s="1358">
        <f>10000-10000</f>
        <v>0</v>
      </c>
      <c r="O109" s="1424"/>
      <c r="P109" s="1442"/>
      <c r="Q109" s="1442"/>
      <c r="R109" s="1444">
        <f>+S109*N109</f>
        <v>0</v>
      </c>
      <c r="S109" s="1358">
        <v>355.5</v>
      </c>
      <c r="T109" s="1439" t="s">
        <v>302</v>
      </c>
      <c r="U109" s="1439"/>
      <c r="V109" s="1358"/>
      <c r="W109" s="1358"/>
      <c r="X109" s="1358"/>
      <c r="Y109" s="1358">
        <f>2590923.8-2590923.8</f>
        <v>0</v>
      </c>
      <c r="Z109" s="1414" t="s">
        <v>303</v>
      </c>
      <c r="AB109" s="1422"/>
      <c r="AC109" s="1515" t="e">
        <f>($S$132/$N$132)*N109</f>
        <v>#DIV/0!</v>
      </c>
      <c r="AE109" s="1360">
        <v>1302.51</v>
      </c>
      <c r="AF109" s="1514">
        <f t="shared" si="17"/>
        <v>0</v>
      </c>
      <c r="AG109" s="1423">
        <f t="shared" si="16"/>
        <v>0</v>
      </c>
      <c r="AJ109" s="1431"/>
      <c r="AK109" s="1448"/>
      <c r="AL109" s="1449"/>
      <c r="AM109" s="1518"/>
      <c r="AN109" s="1453"/>
      <c r="AO109" s="1453"/>
      <c r="AP109" s="1451"/>
      <c r="AQ109" s="1361"/>
      <c r="AR109" s="1453"/>
      <c r="AS109" s="1453"/>
      <c r="AT109" s="1453"/>
    </row>
    <row r="110" spans="1:46" ht="11.25">
      <c r="A110" s="1439">
        <v>6</v>
      </c>
      <c r="B110" s="1440" t="s">
        <v>417</v>
      </c>
      <c r="C110" s="1439" t="s">
        <v>418</v>
      </c>
      <c r="D110" s="1439"/>
      <c r="E110" s="1439"/>
      <c r="F110" s="1439"/>
      <c r="G110" s="1439"/>
      <c r="H110" s="1439"/>
      <c r="I110" s="1439"/>
      <c r="J110" s="1439"/>
      <c r="K110" s="1423" t="s">
        <v>403</v>
      </c>
      <c r="L110" s="1442">
        <v>4974.37</v>
      </c>
      <c r="M110" s="1442"/>
      <c r="N110" s="1358">
        <v>4974.37</v>
      </c>
      <c r="O110" s="1424"/>
      <c r="P110" s="1442">
        <v>1260952.5900000001</v>
      </c>
      <c r="Q110" s="1442">
        <v>4934.37</v>
      </c>
      <c r="R110" s="1442">
        <f>+P110/Q110*L110</f>
        <v>1271174.381961284</v>
      </c>
      <c r="S110" s="1444">
        <f t="shared" ref="S110:S120" si="19">+P110/Q110</f>
        <v>255.54479903209531</v>
      </c>
      <c r="T110" s="1445" t="s">
        <v>335</v>
      </c>
      <c r="U110" s="1446">
        <v>38406</v>
      </c>
      <c r="V110" s="1358"/>
      <c r="W110" s="1358"/>
      <c r="X110" s="1358"/>
      <c r="Y110" s="1358">
        <f>+R110+88422.22+588.59+73311.97+1797.21+983.38+2797.31+4903.53+9724.55+7333.31+18735.06+4579.83+2995.22+7691.06+3005.14+6449.32+3020.38+48435.17+8183.53+4875.89+17384.24+951.31+2285.54-3093.55+24121.89+6007.49-6007.49+5884.16+34760.15</f>
        <v>1651300.7919612837</v>
      </c>
      <c r="Z110" s="1414" t="s">
        <v>292</v>
      </c>
      <c r="AA110" s="1414" t="s">
        <v>406</v>
      </c>
      <c r="AB110" s="1422"/>
      <c r="AC110" s="1515" t="e">
        <f>($S$132/$N$132)*N110</f>
        <v>#DIV/0!</v>
      </c>
      <c r="AE110" s="1360">
        <v>4974.37</v>
      </c>
      <c r="AF110" s="1514">
        <f t="shared" si="17"/>
        <v>1.1506820899832713E-2</v>
      </c>
      <c r="AG110" s="1423">
        <f t="shared" si="16"/>
        <v>34760.152655546881</v>
      </c>
      <c r="AJ110" s="1431"/>
      <c r="AK110" s="1448" t="s">
        <v>6038</v>
      </c>
      <c r="AL110" s="1449" t="s">
        <v>5454</v>
      </c>
      <c r="AM110" s="1518" t="s">
        <v>5455</v>
      </c>
      <c r="AN110" s="1453" t="s">
        <v>5440</v>
      </c>
      <c r="AO110" s="1453" t="s">
        <v>5440</v>
      </c>
      <c r="AP110" s="1451" t="s">
        <v>5393</v>
      </c>
      <c r="AQ110" s="1361">
        <v>4974.37</v>
      </c>
      <c r="AR110" s="1453" t="s">
        <v>5456</v>
      </c>
      <c r="AS110" s="1453" t="s">
        <v>5442</v>
      </c>
      <c r="AT110" s="1453" t="s">
        <v>5381</v>
      </c>
    </row>
    <row r="111" spans="1:46" ht="11.25">
      <c r="A111" s="1439">
        <v>6</v>
      </c>
      <c r="B111" s="1440">
        <v>3</v>
      </c>
      <c r="C111" s="1439" t="s">
        <v>418</v>
      </c>
      <c r="D111" s="1439"/>
      <c r="E111" s="1439"/>
      <c r="F111" s="1439"/>
      <c r="G111" s="1439"/>
      <c r="H111" s="1439"/>
      <c r="I111" s="1439"/>
      <c r="J111" s="1439"/>
      <c r="K111" s="1423" t="s">
        <v>403</v>
      </c>
      <c r="L111" s="1442">
        <v>17504.259999999998</v>
      </c>
      <c r="M111" s="1442"/>
      <c r="N111" s="1358">
        <v>17504.259999999998</v>
      </c>
      <c r="O111" s="1424"/>
      <c r="P111" s="1442">
        <v>4093329.19</v>
      </c>
      <c r="Q111" s="1442">
        <f>+L111</f>
        <v>17504.259999999998</v>
      </c>
      <c r="R111" s="1442">
        <f>+P111</f>
        <v>4093329.19</v>
      </c>
      <c r="S111" s="1444">
        <f t="shared" si="19"/>
        <v>233.84759995566796</v>
      </c>
      <c r="T111" s="1445" t="s">
        <v>335</v>
      </c>
      <c r="U111" s="1446">
        <v>38406</v>
      </c>
      <c r="V111" s="1358"/>
      <c r="W111" s="1358"/>
      <c r="X111" s="1358"/>
      <c r="Y111" s="1358">
        <f>+R111+313670.36+2087.99+260068+6324.2+3460.41+9843.41+17254.99+34219.63+25805.11+65926.6+16115.93+10539.83+27064+10574.75+22694.45+10628.38+170438.04+28796.9+17157.7+61173.24+3347.54+8042.57-10885.85+84882.29+21139.71-21139.71+20705.71+122317.15</f>
        <v>5435582.5200000023</v>
      </c>
      <c r="Z111" s="1414" t="s">
        <v>292</v>
      </c>
      <c r="AA111" s="1414" t="s">
        <v>406</v>
      </c>
      <c r="AB111" s="1422"/>
      <c r="AC111" s="1515" t="e">
        <f>($S$132/$N$132)*N111</f>
        <v>#DIV/0!</v>
      </c>
      <c r="AE111" s="1360">
        <v>17504.259999999998</v>
      </c>
      <c r="AF111" s="1514">
        <f t="shared" si="17"/>
        <v>4.0491235031593097E-2</v>
      </c>
      <c r="AG111" s="1423">
        <f t="shared" si="16"/>
        <v>122317.14764329614</v>
      </c>
      <c r="AJ111" s="1431"/>
      <c r="AK111" s="1448" t="s">
        <v>6039</v>
      </c>
      <c r="AL111" s="1449" t="s">
        <v>5454</v>
      </c>
      <c r="AM111" s="1518" t="s">
        <v>5418</v>
      </c>
      <c r="AN111" s="1453" t="s">
        <v>5440</v>
      </c>
      <c r="AO111" s="1453" t="s">
        <v>5440</v>
      </c>
      <c r="AP111" s="1451" t="s">
        <v>5393</v>
      </c>
      <c r="AQ111" s="1361">
        <v>17504.259999999998</v>
      </c>
      <c r="AR111" s="1453" t="s">
        <v>5456</v>
      </c>
      <c r="AS111" s="1453" t="s">
        <v>5442</v>
      </c>
      <c r="AT111" s="1453" t="s">
        <v>5381</v>
      </c>
    </row>
    <row r="112" spans="1:46" ht="11.25">
      <c r="A112" s="1439">
        <v>6</v>
      </c>
      <c r="B112" s="1440">
        <v>4</v>
      </c>
      <c r="C112" s="1439" t="s">
        <v>419</v>
      </c>
      <c r="D112" s="1439"/>
      <c r="E112" s="1439"/>
      <c r="F112" s="1439"/>
      <c r="G112" s="1439"/>
      <c r="H112" s="1439"/>
      <c r="I112" s="1439"/>
      <c r="J112" s="1439"/>
      <c r="K112" s="1423" t="s">
        <v>403</v>
      </c>
      <c r="L112" s="1358">
        <v>21370.639999999999</v>
      </c>
      <c r="M112" s="1442"/>
      <c r="N112" s="1358">
        <v>21370.639999999999</v>
      </c>
      <c r="O112" s="1424"/>
      <c r="P112" s="1442">
        <v>4764109.5</v>
      </c>
      <c r="Q112" s="1442">
        <v>21173.82</v>
      </c>
      <c r="R112" s="1358">
        <f>+P112/Q112*N112</f>
        <v>4808394</v>
      </c>
      <c r="S112" s="1444">
        <f t="shared" si="19"/>
        <v>225</v>
      </c>
      <c r="T112" s="1445" t="s">
        <v>291</v>
      </c>
      <c r="U112" s="1446">
        <v>38581</v>
      </c>
      <c r="V112" s="1358"/>
      <c r="W112" s="1358"/>
      <c r="X112" s="1358"/>
      <c r="Y112" s="1358">
        <f>+R112+379427.62+2525.71+314588.16+7721.1+4224.75+12017.65+21066.31+41778.13+31505.02+80488.6+19675.65+12867.89+33041.95+12910.53+27707.25+12976.01+208084.78+35157.62+20947.53+74685.31+4086.95+9819.03-13290.34+103631.29+25809.1-25809.1+25279.23+149334.83</f>
        <v>6440652.5600000005</v>
      </c>
      <c r="Z112" s="1414" t="s">
        <v>292</v>
      </c>
      <c r="AA112" s="1414" t="s">
        <v>420</v>
      </c>
      <c r="AB112" s="1422" t="s">
        <v>421</v>
      </c>
      <c r="AC112" s="1515" t="e">
        <f>($S$132/$N$132)*N112</f>
        <v>#DIV/0!</v>
      </c>
      <c r="AE112" s="1360">
        <v>21370.639999999999</v>
      </c>
      <c r="AF112" s="1514">
        <f t="shared" si="17"/>
        <v>4.9435029359456768E-2</v>
      </c>
      <c r="AG112" s="1423">
        <f t="shared" si="16"/>
        <v>149334.83209868512</v>
      </c>
      <c r="AJ112" s="1431"/>
      <c r="AK112" s="1448" t="s">
        <v>6040</v>
      </c>
      <c r="AL112" s="1449" t="s">
        <v>5454</v>
      </c>
      <c r="AM112" s="1511" t="s">
        <v>5457</v>
      </c>
      <c r="AN112" s="1453" t="s">
        <v>5440</v>
      </c>
      <c r="AO112" s="1453" t="s">
        <v>5440</v>
      </c>
      <c r="AP112" s="1451" t="s">
        <v>5458</v>
      </c>
      <c r="AQ112" s="1361">
        <v>21370.639999999999</v>
      </c>
      <c r="AR112" s="1453" t="s">
        <v>5456</v>
      </c>
      <c r="AS112" s="1453" t="s">
        <v>5442</v>
      </c>
      <c r="AT112" s="1453" t="s">
        <v>5381</v>
      </c>
    </row>
    <row r="113" spans="1:46" ht="11.25">
      <c r="A113" s="1439">
        <v>6</v>
      </c>
      <c r="B113" s="1440" t="s">
        <v>417</v>
      </c>
      <c r="C113" s="1439" t="s">
        <v>422</v>
      </c>
      <c r="D113" s="1439"/>
      <c r="E113" s="1439"/>
      <c r="F113" s="1439"/>
      <c r="G113" s="1439"/>
      <c r="H113" s="1439"/>
      <c r="I113" s="1439"/>
      <c r="J113" s="1439"/>
      <c r="K113" s="1423" t="s">
        <v>403</v>
      </c>
      <c r="M113" s="1442">
        <v>2549.79</v>
      </c>
      <c r="N113" s="1358">
        <v>2549.79</v>
      </c>
      <c r="O113" s="1424"/>
      <c r="P113" s="1442">
        <v>637447.5</v>
      </c>
      <c r="Q113" s="1442">
        <v>2549.79</v>
      </c>
      <c r="R113" s="1442">
        <f>+P113</f>
        <v>637447.5</v>
      </c>
      <c r="S113" s="1444">
        <f t="shared" si="19"/>
        <v>250</v>
      </c>
      <c r="T113" s="1445" t="s">
        <v>291</v>
      </c>
      <c r="U113" s="1446">
        <v>38581</v>
      </c>
      <c r="V113" s="1358">
        <f>+R113+182.45+504.07+1433.86+2513.48+4984.66+3758.95+9603.32+2347.56+1535.3+3942.33+1540.39+3305.83+1548.2+24827.17+4194.76+2499.31+8910.91+487.63+1171.54-1585.71+12364.53+3079.35-3079.35+3016.13+17817.55</f>
        <v>748351.72000000009</v>
      </c>
      <c r="W113" s="1358"/>
      <c r="X113" s="1358"/>
      <c r="Y113" s="1358"/>
      <c r="Z113" s="1414" t="s">
        <v>292</v>
      </c>
      <c r="AA113" s="1414" t="s">
        <v>423</v>
      </c>
      <c r="AB113" s="1422"/>
      <c r="AC113" s="1422"/>
      <c r="AE113" s="1360">
        <v>2549.79</v>
      </c>
      <c r="AF113" s="1514">
        <f t="shared" si="17"/>
        <v>5.8982296978681631E-3</v>
      </c>
      <c r="AG113" s="1423">
        <f t="shared" si="16"/>
        <v>17817.550692768509</v>
      </c>
      <c r="AJ113" s="1431"/>
      <c r="AK113" s="1448" t="s">
        <v>6041</v>
      </c>
      <c r="AL113" s="1449" t="s">
        <v>5454</v>
      </c>
      <c r="AM113" s="1511" t="s">
        <v>5459</v>
      </c>
      <c r="AN113" s="1453" t="s">
        <v>5440</v>
      </c>
      <c r="AO113" s="1453" t="s">
        <v>5440</v>
      </c>
      <c r="AP113" s="1451" t="s">
        <v>5365</v>
      </c>
      <c r="AQ113" s="1361">
        <v>2549.79</v>
      </c>
      <c r="AR113" s="1453" t="s">
        <v>5456</v>
      </c>
      <c r="AS113" s="1453" t="s">
        <v>5442</v>
      </c>
      <c r="AT113" s="1453" t="s">
        <v>5381</v>
      </c>
    </row>
    <row r="114" spans="1:46" ht="11.25">
      <c r="A114" s="1439">
        <v>7</v>
      </c>
      <c r="B114" s="1440">
        <v>5</v>
      </c>
      <c r="C114" s="1439" t="s">
        <v>385</v>
      </c>
      <c r="D114" s="1439"/>
      <c r="E114" s="1439"/>
      <c r="F114" s="1439"/>
      <c r="G114" s="1439"/>
      <c r="H114" s="1439"/>
      <c r="I114" s="1439"/>
      <c r="J114" s="1439"/>
      <c r="K114" s="1423" t="s">
        <v>403</v>
      </c>
      <c r="L114" s="1442">
        <v>7840</v>
      </c>
      <c r="M114" s="1364"/>
      <c r="N114" s="1358">
        <f t="shared" ref="N114:N120" si="20">+L114</f>
        <v>7840</v>
      </c>
      <c r="O114" s="1424"/>
      <c r="P114" s="1442">
        <v>1832208</v>
      </c>
      <c r="Q114" s="1442">
        <f t="shared" ref="Q114:Q120" si="21">+L114</f>
        <v>7840</v>
      </c>
      <c r="R114" s="1442">
        <f t="shared" ref="R114:R120" si="22">+P114</f>
        <v>1832208</v>
      </c>
      <c r="S114" s="1444">
        <f t="shared" si="19"/>
        <v>233.7</v>
      </c>
      <c r="T114" s="1445" t="s">
        <v>335</v>
      </c>
      <c r="U114" s="1446">
        <v>38406</v>
      </c>
      <c r="V114" s="1358"/>
      <c r="W114" s="1358"/>
      <c r="X114" s="1358"/>
      <c r="Y114" s="1358">
        <f>+R114+140490.12+935.19+116482.11+2832.55+1549.89+4408.77+7728.35+15326.66+11557.89+29527.93+7218.18+4720.7+12121.72+4736.34+10164.64+4760.36+76337.66+12897.88+7684.78+27398.94+1499.33+3602.19-4875.67+38018.01+9468.28-9468.28+9273.9+54784.75</f>
        <v>2433391.1700000004</v>
      </c>
      <c r="Z114" s="1414" t="s">
        <v>292</v>
      </c>
      <c r="AA114" s="1414" t="s">
        <v>406</v>
      </c>
      <c r="AB114" s="1422"/>
      <c r="AC114" s="1515" t="e">
        <f t="shared" ref="AC114:AC120" si="23">($S$132/$N$132)*N114</f>
        <v>#DIV/0!</v>
      </c>
      <c r="AE114" s="1360">
        <v>7840</v>
      </c>
      <c r="AF114" s="1514">
        <f t="shared" si="17"/>
        <v>1.8135658556699335E-2</v>
      </c>
      <c r="AG114" s="1423">
        <f t="shared" si="16"/>
        <v>54784.745971748693</v>
      </c>
      <c r="AJ114" s="1431"/>
      <c r="AK114" s="1448" t="s">
        <v>6042</v>
      </c>
      <c r="AL114" s="1449" t="s">
        <v>5369</v>
      </c>
      <c r="AM114" s="1511" t="s">
        <v>5447</v>
      </c>
      <c r="AN114" s="1453" t="s">
        <v>5440</v>
      </c>
      <c r="AO114" s="1453" t="s">
        <v>5440</v>
      </c>
      <c r="AP114" s="1451" t="s">
        <v>5393</v>
      </c>
      <c r="AQ114" s="1361">
        <v>7840</v>
      </c>
      <c r="AR114" s="1453" t="s">
        <v>5460</v>
      </c>
      <c r="AS114" s="1453" t="s">
        <v>5442</v>
      </c>
      <c r="AT114" s="1453" t="s">
        <v>5461</v>
      </c>
    </row>
    <row r="115" spans="1:46" ht="11.25">
      <c r="A115" s="1439">
        <v>7</v>
      </c>
      <c r="B115" s="1440">
        <v>6</v>
      </c>
      <c r="C115" s="1439" t="s">
        <v>385</v>
      </c>
      <c r="D115" s="1439"/>
      <c r="E115" s="1439"/>
      <c r="F115" s="1439"/>
      <c r="G115" s="1439"/>
      <c r="H115" s="1439"/>
      <c r="I115" s="1439"/>
      <c r="J115" s="1439"/>
      <c r="K115" s="1423" t="s">
        <v>403</v>
      </c>
      <c r="L115" s="1442">
        <v>8506.4</v>
      </c>
      <c r="M115" s="1364"/>
      <c r="N115" s="1358">
        <f t="shared" si="20"/>
        <v>8506.4</v>
      </c>
      <c r="O115" s="1424"/>
      <c r="P115" s="1442">
        <v>2027704.59</v>
      </c>
      <c r="Q115" s="1442">
        <f t="shared" si="21"/>
        <v>8506.4</v>
      </c>
      <c r="R115" s="1442">
        <f t="shared" si="22"/>
        <v>2027704.59</v>
      </c>
      <c r="S115" s="1444">
        <f t="shared" si="19"/>
        <v>238.37399957678926</v>
      </c>
      <c r="T115" s="1445" t="s">
        <v>335</v>
      </c>
      <c r="U115" s="1446">
        <v>38406</v>
      </c>
      <c r="V115" s="1358"/>
      <c r="W115" s="1358"/>
      <c r="X115" s="1358"/>
      <c r="Y115" s="1358">
        <f>+R115+152431.78+1014.68+126383.09+3073.32+1681.63+4783.52+8385.26+16629.44+12540.3+32037.8+7831.72+5121.95+13152.07+5138.93+11028.63+5164.99+82826.36+13994.18+8337.99+29727.85+1626.78+3908.38-5290.1+41249.54+10273.09-10273.09+10062.18+59441.45</f>
        <v>2679988.31</v>
      </c>
      <c r="Z115" s="1414" t="s">
        <v>292</v>
      </c>
      <c r="AA115" s="1414" t="s">
        <v>406</v>
      </c>
      <c r="AB115" s="1422"/>
      <c r="AC115" s="1515" t="e">
        <f t="shared" si="23"/>
        <v>#DIV/0!</v>
      </c>
      <c r="AE115" s="1360">
        <v>8506.4</v>
      </c>
      <c r="AF115" s="1514">
        <f t="shared" si="17"/>
        <v>1.9677189534018778E-2</v>
      </c>
      <c r="AG115" s="1423">
        <f t="shared" si="16"/>
        <v>59441.44937934733</v>
      </c>
      <c r="AJ115" s="1431"/>
      <c r="AK115" s="1448" t="s">
        <v>6043</v>
      </c>
      <c r="AL115" s="1449" t="s">
        <v>5369</v>
      </c>
      <c r="AM115" s="1511" t="s">
        <v>5449</v>
      </c>
      <c r="AN115" s="1453" t="s">
        <v>5440</v>
      </c>
      <c r="AO115" s="1453" t="s">
        <v>5440</v>
      </c>
      <c r="AP115" s="1451" t="s">
        <v>5393</v>
      </c>
      <c r="AQ115" s="1361">
        <v>8506.4</v>
      </c>
      <c r="AR115" s="1453" t="s">
        <v>5460</v>
      </c>
      <c r="AS115" s="1453" t="s">
        <v>5442</v>
      </c>
      <c r="AT115" s="1453" t="s">
        <v>5461</v>
      </c>
    </row>
    <row r="116" spans="1:46" ht="11.25">
      <c r="A116" s="1439">
        <v>7</v>
      </c>
      <c r="B116" s="1440">
        <v>7</v>
      </c>
      <c r="C116" s="1439" t="s">
        <v>385</v>
      </c>
      <c r="D116" s="1439"/>
      <c r="E116" s="1439"/>
      <c r="F116" s="1439"/>
      <c r="G116" s="1439"/>
      <c r="H116" s="1439"/>
      <c r="I116" s="1439"/>
      <c r="J116" s="1439"/>
      <c r="K116" s="1423" t="s">
        <v>403</v>
      </c>
      <c r="L116" s="1442">
        <v>7840</v>
      </c>
      <c r="M116" s="1364"/>
      <c r="N116" s="1358">
        <f t="shared" si="20"/>
        <v>7840</v>
      </c>
      <c r="O116" s="1424"/>
      <c r="P116" s="1442">
        <v>1887174.24</v>
      </c>
      <c r="Q116" s="1442">
        <f t="shared" si="21"/>
        <v>7840</v>
      </c>
      <c r="R116" s="1442">
        <f t="shared" si="22"/>
        <v>1887174.24</v>
      </c>
      <c r="S116" s="1444">
        <f t="shared" si="19"/>
        <v>240.71100000000001</v>
      </c>
      <c r="T116" s="1445" t="s">
        <v>335</v>
      </c>
      <c r="U116" s="1446">
        <v>38406</v>
      </c>
      <c r="V116" s="1358"/>
      <c r="W116" s="1358"/>
      <c r="X116" s="1358"/>
      <c r="Y116" s="1358">
        <f>+R116+140490.12+935.19+116482.11+2832.55+1549.89+4408.77+7728.35+15326.66+11557.88+29527.93+7218.18+4720.7+12121.72+4736.34+10164.64+4760.36+76337.66+12897.87+7684.78+27398.94+1499.33+3602.19-4875.67+38018.01+9468.28-9468.28+9273.9+54784.75</f>
        <v>2488357.39</v>
      </c>
      <c r="Z116" s="1414" t="s">
        <v>292</v>
      </c>
      <c r="AA116" s="1414" t="s">
        <v>406</v>
      </c>
      <c r="AB116" s="1422"/>
      <c r="AC116" s="1515" t="e">
        <f t="shared" si="23"/>
        <v>#DIV/0!</v>
      </c>
      <c r="AE116" s="1360">
        <v>7840</v>
      </c>
      <c r="AF116" s="1514">
        <f t="shared" si="17"/>
        <v>1.8135658556699335E-2</v>
      </c>
      <c r="AG116" s="1423">
        <f t="shared" si="16"/>
        <v>54784.745971748693</v>
      </c>
      <c r="AJ116" s="1431"/>
      <c r="AK116" s="1448" t="s">
        <v>6044</v>
      </c>
      <c r="AL116" s="1449" t="s">
        <v>5369</v>
      </c>
      <c r="AM116" s="1511" t="s">
        <v>5444</v>
      </c>
      <c r="AN116" s="1453" t="s">
        <v>5440</v>
      </c>
      <c r="AO116" s="1453" t="s">
        <v>5440</v>
      </c>
      <c r="AP116" s="1451" t="s">
        <v>5393</v>
      </c>
      <c r="AQ116" s="1361">
        <v>7840</v>
      </c>
      <c r="AR116" s="1453" t="s">
        <v>5460</v>
      </c>
      <c r="AS116" s="1453" t="s">
        <v>5442</v>
      </c>
      <c r="AT116" s="1453" t="s">
        <v>5381</v>
      </c>
    </row>
    <row r="117" spans="1:46" ht="11.25">
      <c r="A117" s="1439">
        <v>7</v>
      </c>
      <c r="B117" s="1440">
        <v>8</v>
      </c>
      <c r="C117" s="1439" t="s">
        <v>385</v>
      </c>
      <c r="D117" s="1439"/>
      <c r="E117" s="1439"/>
      <c r="F117" s="1439"/>
      <c r="G117" s="1439"/>
      <c r="H117" s="1439"/>
      <c r="I117" s="1439"/>
      <c r="J117" s="1439"/>
      <c r="K117" s="1423" t="s">
        <v>403</v>
      </c>
      <c r="L117" s="1442">
        <v>7758.4</v>
      </c>
      <c r="M117" s="1364"/>
      <c r="N117" s="1358">
        <f t="shared" si="20"/>
        <v>7758.4</v>
      </c>
      <c r="O117" s="1424"/>
      <c r="P117" s="1442">
        <v>1906848.69</v>
      </c>
      <c r="Q117" s="1442">
        <f t="shared" si="21"/>
        <v>7758.4</v>
      </c>
      <c r="R117" s="1442">
        <f t="shared" si="22"/>
        <v>1906848.69</v>
      </c>
      <c r="S117" s="1444">
        <f t="shared" si="19"/>
        <v>245.77859996906579</v>
      </c>
      <c r="T117" s="1445" t="s">
        <v>335</v>
      </c>
      <c r="U117" s="1446">
        <v>38406</v>
      </c>
      <c r="V117" s="1358"/>
      <c r="W117" s="1358"/>
      <c r="X117" s="1358"/>
      <c r="Y117" s="1358">
        <f>+R117+139027.88+925.46+115269.74+2803.07+1533.75+4362.89+7647.92+15167.14+11437.58+29220.6+7143.05+4671.56+11995.55+4687.04+10058.84+4710.81+75543.13+12763.62+7604.8+27113.77+1483.73+3564.7-4824.93+37622.31+9369.74-9369.74+9177.37+54214.54</f>
        <v>2501774.61</v>
      </c>
      <c r="Z117" s="1414" t="s">
        <v>292</v>
      </c>
      <c r="AA117" s="1414" t="s">
        <v>406</v>
      </c>
      <c r="AB117" s="1422"/>
      <c r="AC117" s="1515" t="e">
        <f t="shared" si="23"/>
        <v>#DIV/0!</v>
      </c>
      <c r="AE117" s="1360">
        <v>7758.4</v>
      </c>
      <c r="AF117" s="1514">
        <f t="shared" si="17"/>
        <v>1.7946899661517361E-2</v>
      </c>
      <c r="AG117" s="1423">
        <f t="shared" si="16"/>
        <v>54214.537391226404</v>
      </c>
      <c r="AJ117" s="1431"/>
      <c r="AK117" s="1448" t="s">
        <v>6045</v>
      </c>
      <c r="AL117" s="1449" t="s">
        <v>5369</v>
      </c>
      <c r="AM117" s="1511" t="s">
        <v>5450</v>
      </c>
      <c r="AN117" s="1453" t="s">
        <v>5440</v>
      </c>
      <c r="AO117" s="1453" t="s">
        <v>5440</v>
      </c>
      <c r="AP117" s="1451" t="s">
        <v>5393</v>
      </c>
      <c r="AQ117" s="1361">
        <v>7758.4</v>
      </c>
      <c r="AR117" s="1453" t="s">
        <v>5460</v>
      </c>
      <c r="AS117" s="1453" t="s">
        <v>5442</v>
      </c>
      <c r="AT117" s="1453" t="s">
        <v>5381</v>
      </c>
    </row>
    <row r="118" spans="1:46" ht="11.25">
      <c r="A118" s="1439">
        <v>7</v>
      </c>
      <c r="B118" s="1440">
        <v>9</v>
      </c>
      <c r="C118" s="1439" t="s">
        <v>385</v>
      </c>
      <c r="D118" s="1439"/>
      <c r="E118" s="1439"/>
      <c r="F118" s="1439"/>
      <c r="G118" s="1439"/>
      <c r="H118" s="1439"/>
      <c r="I118" s="1439"/>
      <c r="J118" s="1439"/>
      <c r="K118" s="1423" t="s">
        <v>403</v>
      </c>
      <c r="L118" s="1442">
        <v>14238.4</v>
      </c>
      <c r="M118" s="1364"/>
      <c r="N118" s="1358">
        <f t="shared" si="20"/>
        <v>14238.4</v>
      </c>
      <c r="O118" s="1517"/>
      <c r="P118" s="1442">
        <v>1176276.23</v>
      </c>
      <c r="Q118" s="1442">
        <f t="shared" si="21"/>
        <v>14238.4</v>
      </c>
      <c r="R118" s="1442">
        <f t="shared" si="22"/>
        <v>1176276.23</v>
      </c>
      <c r="S118" s="1444">
        <f t="shared" si="19"/>
        <v>82.612950191032695</v>
      </c>
      <c r="T118" s="1445" t="s">
        <v>335</v>
      </c>
      <c r="U118" s="1446">
        <v>38406</v>
      </c>
      <c r="V118" s="1358"/>
      <c r="W118" s="1358"/>
      <c r="X118" s="1358"/>
      <c r="Y118" s="1358">
        <f>+R118+255147.26+1698.42+211545.77+5144.26+2814.78+8006.87+14035.64+27835.09+20990.52+53626.33+13109.1+8573.36+22014.53+8601.77+18460.23+8645.39+138638.54+23424.1+13956.5+49759.83+2722.97+6542.02-8854.82+69045.36+17195.56-17195.56+16842.54+99495.81</f>
        <v>2268098.4000000004</v>
      </c>
      <c r="Z118" s="1414" t="s">
        <v>292</v>
      </c>
      <c r="AA118" s="1414" t="s">
        <v>406</v>
      </c>
      <c r="AB118" s="1422"/>
      <c r="AC118" s="1515" t="e">
        <f t="shared" si="23"/>
        <v>#DIV/0!</v>
      </c>
      <c r="AE118" s="1360">
        <v>14238.4</v>
      </c>
      <c r="AF118" s="1514">
        <f t="shared" si="17"/>
        <v>3.2936576631850484E-2</v>
      </c>
      <c r="AG118" s="1423">
        <f t="shared" si="16"/>
        <v>99495.807020937049</v>
      </c>
      <c r="AJ118" s="1431"/>
      <c r="AK118" s="1448" t="s">
        <v>6046</v>
      </c>
      <c r="AL118" s="1449" t="s">
        <v>5369</v>
      </c>
      <c r="AM118" s="1511" t="s">
        <v>5451</v>
      </c>
      <c r="AN118" s="1453" t="s">
        <v>5440</v>
      </c>
      <c r="AO118" s="1453" t="s">
        <v>5440</v>
      </c>
      <c r="AP118" s="1451" t="s">
        <v>5393</v>
      </c>
      <c r="AQ118" s="1361">
        <v>14238.4</v>
      </c>
      <c r="AR118" s="1453" t="s">
        <v>5460</v>
      </c>
      <c r="AS118" s="1453" t="s">
        <v>5442</v>
      </c>
      <c r="AT118" s="1453" t="s">
        <v>5461</v>
      </c>
    </row>
    <row r="119" spans="1:46" ht="11.25">
      <c r="A119" s="1439">
        <v>8</v>
      </c>
      <c r="B119" s="1440">
        <v>1</v>
      </c>
      <c r="C119" s="1439" t="s">
        <v>385</v>
      </c>
      <c r="D119" s="1439"/>
      <c r="E119" s="1439"/>
      <c r="F119" s="1439"/>
      <c r="G119" s="1439"/>
      <c r="H119" s="1439"/>
      <c r="I119" s="1439"/>
      <c r="J119" s="1439"/>
      <c r="K119" s="1423" t="s">
        <v>403</v>
      </c>
      <c r="L119" s="1442">
        <v>12000.714</v>
      </c>
      <c r="M119" s="1442"/>
      <c r="N119" s="1358">
        <f t="shared" si="20"/>
        <v>12000.714</v>
      </c>
      <c r="O119" s="1424"/>
      <c r="P119" s="1442">
        <v>2952175.64</v>
      </c>
      <c r="Q119" s="1442">
        <f t="shared" si="21"/>
        <v>12000.714</v>
      </c>
      <c r="R119" s="1442">
        <f t="shared" si="22"/>
        <v>2952175.64</v>
      </c>
      <c r="S119" s="1444">
        <f t="shared" si="19"/>
        <v>245.99999966668651</v>
      </c>
      <c r="T119" s="1445" t="s">
        <v>335</v>
      </c>
      <c r="U119" s="1446">
        <v>38406</v>
      </c>
      <c r="V119" s="1358"/>
      <c r="W119" s="1358"/>
      <c r="X119" s="1358"/>
      <c r="Y119" s="1358">
        <f>+R119+215048.69+1431.5+178299.55+4335.8+2372.42+6748.52+11829.82+23460.57+17691.69+45198.5+11048.89+7225.98+18554.76+7249.93+15559.04+7286.7+116850.31+19742.81+11763.12+41939.65+2295.03+5513.89-7463.21+58194.3+14493.13-14493.13+14195.59+83859.19</f>
        <v>3872408.6799999992</v>
      </c>
      <c r="Z119" s="1414" t="s">
        <v>292</v>
      </c>
      <c r="AA119" s="1414" t="s">
        <v>406</v>
      </c>
      <c r="AB119" s="1422"/>
      <c r="AC119" s="1515" t="e">
        <f t="shared" si="23"/>
        <v>#DIV/0!</v>
      </c>
      <c r="AE119" s="1360">
        <v>12000.714</v>
      </c>
      <c r="AF119" s="1514">
        <f t="shared" si="17"/>
        <v>2.7760312696505293E-2</v>
      </c>
      <c r="AG119" s="1423">
        <f t="shared" si="16"/>
        <v>83859.192343062256</v>
      </c>
      <c r="AJ119" s="1431"/>
      <c r="AK119" s="1448" t="s">
        <v>6047</v>
      </c>
      <c r="AL119" s="1449" t="s">
        <v>5462</v>
      </c>
      <c r="AM119" s="1511" t="s">
        <v>5463</v>
      </c>
      <c r="AN119" s="1453" t="s">
        <v>5440</v>
      </c>
      <c r="AO119" s="1453" t="s">
        <v>5440</v>
      </c>
      <c r="AP119" s="1451" t="s">
        <v>5393</v>
      </c>
      <c r="AQ119" s="1361">
        <v>12000.71</v>
      </c>
      <c r="AR119" s="1453" t="s">
        <v>5464</v>
      </c>
      <c r="AS119" s="1453" t="s">
        <v>5442</v>
      </c>
      <c r="AT119" s="1453" t="s">
        <v>5461</v>
      </c>
    </row>
    <row r="120" spans="1:46" ht="11.25">
      <c r="A120" s="1439">
        <v>8</v>
      </c>
      <c r="B120" s="1440">
        <v>2</v>
      </c>
      <c r="C120" s="1439" t="s">
        <v>385</v>
      </c>
      <c r="D120" s="1439"/>
      <c r="E120" s="1439"/>
      <c r="F120" s="1439"/>
      <c r="G120" s="1439"/>
      <c r="H120" s="1439"/>
      <c r="I120" s="1439"/>
      <c r="J120" s="1439"/>
      <c r="K120" s="1423" t="s">
        <v>403</v>
      </c>
      <c r="L120" s="1442">
        <v>12000.714</v>
      </c>
      <c r="M120" s="1442"/>
      <c r="N120" s="1358">
        <f t="shared" si="20"/>
        <v>12000.714</v>
      </c>
      <c r="O120" s="1439"/>
      <c r="P120" s="1442">
        <v>2804566.86</v>
      </c>
      <c r="Q120" s="1442">
        <f t="shared" si="21"/>
        <v>12000.714</v>
      </c>
      <c r="R120" s="1442">
        <f t="shared" si="22"/>
        <v>2804566.86</v>
      </c>
      <c r="S120" s="1444">
        <f t="shared" si="19"/>
        <v>233.69999985000891</v>
      </c>
      <c r="T120" s="1445" t="s">
        <v>335</v>
      </c>
      <c r="U120" s="1446">
        <v>38406</v>
      </c>
      <c r="V120" s="1358"/>
      <c r="W120" s="1358"/>
      <c r="X120" s="1358"/>
      <c r="Y120" s="1358">
        <f>+R120+215048.69+1431.52+178299.55+4335.8+2372.42+6748.52+11829.83+23460.57+17691.68+45198.5+11048.89+7225.98+18554.76+7249.93+15559.04+7286.7+116850.31+19742.81+11763.12+41939.65+2295.03+5513.89-7463.21+58194.3+14493.13-14493.13+14195.59+83859.19</f>
        <v>3724799.9199999995</v>
      </c>
      <c r="Z120" s="1414" t="s">
        <v>292</v>
      </c>
      <c r="AA120" s="1414" t="s">
        <v>406</v>
      </c>
      <c r="AB120" s="1422"/>
      <c r="AC120" s="1515" t="e">
        <f t="shared" si="23"/>
        <v>#DIV/0!</v>
      </c>
      <c r="AE120" s="1360">
        <v>12000.714</v>
      </c>
      <c r="AF120" s="1514">
        <f t="shared" si="17"/>
        <v>2.7760312696505293E-2</v>
      </c>
      <c r="AG120" s="1423">
        <f t="shared" si="16"/>
        <v>83859.192343062256</v>
      </c>
      <c r="AJ120" s="1431"/>
      <c r="AK120" s="1448" t="s">
        <v>6048</v>
      </c>
      <c r="AL120" s="1449" t="s">
        <v>5465</v>
      </c>
      <c r="AM120" s="1511" t="s">
        <v>5466</v>
      </c>
      <c r="AN120" s="1453" t="s">
        <v>5440</v>
      </c>
      <c r="AO120" s="1453" t="s">
        <v>5440</v>
      </c>
      <c r="AP120" s="1451" t="s">
        <v>5393</v>
      </c>
      <c r="AQ120" s="1361">
        <v>12000.71</v>
      </c>
      <c r="AR120" s="1453" t="s">
        <v>5464</v>
      </c>
      <c r="AS120" s="1453" t="s">
        <v>5442</v>
      </c>
      <c r="AT120" s="1453" t="s">
        <v>5381</v>
      </c>
    </row>
    <row r="121" spans="1:46" ht="11.25">
      <c r="A121" s="1439">
        <v>8</v>
      </c>
      <c r="B121" s="1440">
        <v>4</v>
      </c>
      <c r="C121" s="1439" t="s">
        <v>412</v>
      </c>
      <c r="D121" s="1439"/>
      <c r="E121" s="1439"/>
      <c r="F121" s="1439"/>
      <c r="G121" s="1439"/>
      <c r="H121" s="1439"/>
      <c r="I121" s="1439"/>
      <c r="J121" s="1439"/>
      <c r="K121" s="1423" t="s">
        <v>403</v>
      </c>
      <c r="L121" s="1439"/>
      <c r="M121" s="1442">
        <v>9481.5</v>
      </c>
      <c r="N121" s="1358">
        <v>9481.5</v>
      </c>
      <c r="O121" s="1439"/>
      <c r="P121" s="1442"/>
      <c r="Q121" s="1442"/>
      <c r="R121" s="1444">
        <f>+S121*N121</f>
        <v>1659262.5</v>
      </c>
      <c r="S121" s="1358">
        <v>175</v>
      </c>
      <c r="T121" s="1439" t="s">
        <v>302</v>
      </c>
      <c r="U121" s="1439"/>
      <c r="V121" s="1358">
        <f>+R121+678.46+1874.39+5331.86+9346.48+17753.71+18535.68+13977.81+35710.34+8729.49+5709.09+14659.7+5728.01+12292.86+5757.06+92320.86+15598.36+9293.78+33135.59+1813.26+4356.4-5896.52+45978.03+11450.7-11450.7+11215.62+66255.3</f>
        <v>2089418.1200000006</v>
      </c>
      <c r="W121" s="1358"/>
      <c r="X121" s="1358"/>
      <c r="Y121" s="1358"/>
      <c r="Z121" s="1414" t="s">
        <v>303</v>
      </c>
      <c r="AB121" s="1422"/>
      <c r="AC121" s="1422"/>
      <c r="AE121" s="1360">
        <v>9481.5</v>
      </c>
      <c r="AF121" s="1514">
        <f t="shared" si="17"/>
        <v>2.1932812067008259E-2</v>
      </c>
      <c r="AG121" s="1423">
        <f t="shared" si="16"/>
        <v>66255.302159583574</v>
      </c>
      <c r="AJ121" s="1431"/>
      <c r="AK121" s="1448" t="s">
        <v>6049</v>
      </c>
      <c r="AL121" s="1449" t="s">
        <v>5462</v>
      </c>
      <c r="AM121" s="1511" t="s">
        <v>5457</v>
      </c>
      <c r="AN121" s="1453" t="s">
        <v>5440</v>
      </c>
      <c r="AO121" s="1453" t="s">
        <v>5440</v>
      </c>
      <c r="AP121" s="1451" t="s">
        <v>5365</v>
      </c>
      <c r="AQ121" s="1361">
        <v>9481.5</v>
      </c>
      <c r="AR121" s="1453" t="s">
        <v>5467</v>
      </c>
      <c r="AS121" s="1453" t="s">
        <v>5442</v>
      </c>
      <c r="AT121" s="1453" t="s">
        <v>5381</v>
      </c>
    </row>
    <row r="122" spans="1:46" ht="11.25">
      <c r="A122" s="1439">
        <v>8</v>
      </c>
      <c r="B122" s="1440">
        <v>5</v>
      </c>
      <c r="C122" s="1439" t="s">
        <v>412</v>
      </c>
      <c r="D122" s="1439"/>
      <c r="E122" s="1439"/>
      <c r="F122" s="1439"/>
      <c r="G122" s="1439"/>
      <c r="H122" s="1439"/>
      <c r="I122" s="1439"/>
      <c r="J122" s="1439"/>
      <c r="K122" s="1423" t="s">
        <v>403</v>
      </c>
      <c r="L122" s="1439"/>
      <c r="M122" s="1442">
        <v>9081.5</v>
      </c>
      <c r="N122" s="1358">
        <v>9081.5</v>
      </c>
      <c r="O122" s="1439"/>
      <c r="P122" s="1442"/>
      <c r="Q122" s="1442"/>
      <c r="R122" s="1444">
        <f>+S122*N122</f>
        <v>1589262.5</v>
      </c>
      <c r="S122" s="1358">
        <v>175</v>
      </c>
      <c r="T122" s="1439" t="s">
        <v>302</v>
      </c>
      <c r="U122" s="1439"/>
      <c r="V122" s="1358">
        <f>+R122+649.84+1795.32+5106.92+8952.17+13388.12+34203.81+8361.21+5468.24+14041.25+5486.36+11774.25+5514.18+88426.08+14940.3+8901.7+31737.69+1736.76+4172.62-5647.76+44038.34+10967.63-10967.63+10742.46+63460.16</f>
        <v>1966512.5200000003</v>
      </c>
      <c r="W122" s="1358"/>
      <c r="X122" s="1358"/>
      <c r="Y122" s="1358"/>
      <c r="Z122" s="1414" t="s">
        <v>303</v>
      </c>
      <c r="AB122" s="1422"/>
      <c r="AC122" s="1422"/>
      <c r="AE122" s="1360">
        <v>9081.5</v>
      </c>
      <c r="AF122" s="1514">
        <f t="shared" si="17"/>
        <v>2.1007523365135845E-2</v>
      </c>
      <c r="AG122" s="1423">
        <f t="shared" si="16"/>
        <v>63460.162058984155</v>
      </c>
      <c r="AJ122" s="1431"/>
      <c r="AK122" s="1448" t="s">
        <v>6050</v>
      </c>
      <c r="AL122" s="1449" t="s">
        <v>5462</v>
      </c>
      <c r="AM122" s="1511" t="s">
        <v>5447</v>
      </c>
      <c r="AN122" s="1453" t="s">
        <v>5440</v>
      </c>
      <c r="AO122" s="1453" t="s">
        <v>5440</v>
      </c>
      <c r="AP122" s="1451" t="s">
        <v>5365</v>
      </c>
      <c r="AQ122" s="1361">
        <v>9081.5</v>
      </c>
      <c r="AR122" s="1453" t="s">
        <v>5467</v>
      </c>
      <c r="AS122" s="1453" t="s">
        <v>5442</v>
      </c>
      <c r="AT122" s="1453" t="s">
        <v>5381</v>
      </c>
    </row>
    <row r="123" spans="1:46" ht="11.25">
      <c r="A123" s="1439">
        <v>8</v>
      </c>
      <c r="B123" s="1440" t="s">
        <v>424</v>
      </c>
      <c r="C123" s="1439" t="s">
        <v>425</v>
      </c>
      <c r="D123" s="1439"/>
      <c r="E123" s="1439"/>
      <c r="F123" s="1439"/>
      <c r="G123" s="1439"/>
      <c r="H123" s="1439"/>
      <c r="I123" s="1439"/>
      <c r="J123" s="1439"/>
      <c r="K123" s="1423" t="s">
        <v>403</v>
      </c>
      <c r="L123" s="1439"/>
      <c r="M123" s="1442">
        <v>298.64999999999998</v>
      </c>
      <c r="N123" s="1358">
        <f>+M123</f>
        <v>298.64999999999998</v>
      </c>
      <c r="O123" s="1424"/>
      <c r="P123" s="1442"/>
      <c r="Q123" s="1442"/>
      <c r="R123" s="1444">
        <f>+S123*N123</f>
        <v>52263.749999999993</v>
      </c>
      <c r="S123" s="1358">
        <v>175</v>
      </c>
      <c r="T123" s="1439" t="s">
        <v>302</v>
      </c>
      <c r="U123" s="1439"/>
      <c r="V123" s="1358">
        <f>+R123+21.37+59.04+167.94+294.4+583.84+440.28+1124.81+274.96+179.83+461.75+180.42+387.2+181.34+2907.94+491.32+292.74+1043.71+57.11+137.22-185.73+1448.22+360.68-360.68+353.27+2086.92</f>
        <v>65253.64999999998</v>
      </c>
      <c r="W123" s="1358"/>
      <c r="X123" s="1358"/>
      <c r="Y123" s="1358"/>
      <c r="Z123" s="1414" t="s">
        <v>303</v>
      </c>
      <c r="AB123" s="1422"/>
      <c r="AC123" s="1422"/>
      <c r="AE123" s="1360">
        <v>298.64999999999998</v>
      </c>
      <c r="AF123" s="1514">
        <f t="shared" si="17"/>
        <v>6.9084367703549181E-4</v>
      </c>
      <c r="AG123" s="1423">
        <f t="shared" si="16"/>
        <v>2086.9214776100439</v>
      </c>
      <c r="AJ123" s="1431"/>
      <c r="AK123" s="1448" t="s">
        <v>6051</v>
      </c>
      <c r="AL123" s="1449" t="s">
        <v>5462</v>
      </c>
      <c r="AM123" s="1511" t="s">
        <v>5468</v>
      </c>
      <c r="AN123" s="1453" t="s">
        <v>5440</v>
      </c>
      <c r="AO123" s="1453" t="s">
        <v>5440</v>
      </c>
      <c r="AP123" s="1451" t="s">
        <v>5365</v>
      </c>
      <c r="AQ123" s="1361">
        <v>298.64999999999998</v>
      </c>
      <c r="AR123" s="1453" t="s">
        <v>5464</v>
      </c>
      <c r="AS123" s="1453" t="s">
        <v>5442</v>
      </c>
      <c r="AT123" s="1453" t="s">
        <v>5381</v>
      </c>
    </row>
    <row r="124" spans="1:46" ht="11.25">
      <c r="A124" s="1439">
        <v>8</v>
      </c>
      <c r="B124" s="1440">
        <v>6</v>
      </c>
      <c r="C124" s="1439" t="s">
        <v>385</v>
      </c>
      <c r="D124" s="1439"/>
      <c r="E124" s="1439"/>
      <c r="F124" s="1439"/>
      <c r="G124" s="1439"/>
      <c r="H124" s="1439"/>
      <c r="I124" s="1439"/>
      <c r="J124" s="1439"/>
      <c r="K124" s="1423" t="s">
        <v>403</v>
      </c>
      <c r="L124" s="1442">
        <v>52573.24</v>
      </c>
      <c r="M124" s="1364"/>
      <c r="N124" s="1358">
        <v>52573.24</v>
      </c>
      <c r="O124" s="1424"/>
      <c r="P124" s="1442">
        <v>11769045.51</v>
      </c>
      <c r="Q124" s="1442">
        <f>+L124</f>
        <v>52573.24</v>
      </c>
      <c r="R124" s="1442">
        <f>+P124</f>
        <v>11769045.51</v>
      </c>
      <c r="S124" s="1444">
        <f>+P124/Q124</f>
        <v>223.8600000684759</v>
      </c>
      <c r="T124" s="1445" t="s">
        <v>335</v>
      </c>
      <c r="U124" s="1439"/>
      <c r="V124" s="1358"/>
      <c r="W124" s="1358"/>
      <c r="X124" s="1358"/>
      <c r="Y124" s="1358">
        <f>+R124+942094.5+6271.18+781102.29+18994.44+10393.18+29564.24+51824.56+102777.07+77504.47+198007.52+48403.47+31655.9+81285.46+31760.77+68161.73+31921.86+511902.82+86490.13+51532.37+183731+10054.18+24155.48-32695.14+254940.05+63492.13-63492.13+62188.63+367373.93</f>
        <v>15800441.600000003</v>
      </c>
      <c r="Z124" s="1414" t="s">
        <v>292</v>
      </c>
      <c r="AA124" s="1414" t="s">
        <v>406</v>
      </c>
      <c r="AB124" s="1422"/>
      <c r="AC124" s="1515" t="e">
        <f>($S$132/$N$132)*N124</f>
        <v>#DIV/0!</v>
      </c>
      <c r="AE124" s="1360">
        <v>52573.24</v>
      </c>
      <c r="AF124" s="1514">
        <f t="shared" si="17"/>
        <v>0.12161356248206731</v>
      </c>
      <c r="AG124" s="1423">
        <f t="shared" si="16"/>
        <v>367373.92835609399</v>
      </c>
      <c r="AJ124" s="1431"/>
      <c r="AK124" s="1448" t="s">
        <v>6052</v>
      </c>
      <c r="AL124" s="1449" t="s">
        <v>5462</v>
      </c>
      <c r="AM124" s="1511" t="s">
        <v>5449</v>
      </c>
      <c r="AN124" s="1453" t="s">
        <v>5440</v>
      </c>
      <c r="AO124" s="1453" t="s">
        <v>5440</v>
      </c>
      <c r="AP124" s="1451" t="s">
        <v>5393</v>
      </c>
      <c r="AQ124" s="1361">
        <v>52573.24</v>
      </c>
      <c r="AR124" s="1453" t="s">
        <v>5464</v>
      </c>
      <c r="AS124" s="1453" t="s">
        <v>5442</v>
      </c>
      <c r="AT124" s="1453" t="s">
        <v>5381</v>
      </c>
    </row>
    <row r="125" spans="1:46" ht="11.25">
      <c r="A125" s="1439">
        <v>8</v>
      </c>
      <c r="B125" s="1440">
        <v>7</v>
      </c>
      <c r="C125" s="1439" t="s">
        <v>412</v>
      </c>
      <c r="D125" s="1439"/>
      <c r="E125" s="1439"/>
      <c r="F125" s="1439"/>
      <c r="G125" s="1439"/>
      <c r="H125" s="1439"/>
      <c r="I125" s="1439"/>
      <c r="J125" s="1439"/>
      <c r="K125" s="1423" t="s">
        <v>403</v>
      </c>
      <c r="L125" s="1439"/>
      <c r="M125" s="1442">
        <v>54113.31</v>
      </c>
      <c r="N125" s="1358">
        <f>+M125</f>
        <v>54113.31</v>
      </c>
      <c r="O125" s="1517"/>
      <c r="P125" s="1442"/>
      <c r="Q125" s="1442"/>
      <c r="R125" s="1444">
        <f>+S125*N125</f>
        <v>9469829.25</v>
      </c>
      <c r="S125" s="1358">
        <v>175</v>
      </c>
      <c r="T125" s="1439" t="s">
        <v>302</v>
      </c>
      <c r="U125" s="1439"/>
      <c r="V125" s="1358">
        <f>+R125+3873.15+10697.64+30430.27+53342.7+105787.81+79774.89+203807.9+49821.38+32583.22+83666.62+32691.17+70158.44+32857.98+526898.39+89023.75+53041.95+189113.18+10348.71+24863.08-33652.91+262408.21+65352.06-65352.06+64010.37+378135.7</f>
        <v>11823512.850000001</v>
      </c>
      <c r="W125" s="1358"/>
      <c r="X125" s="1358"/>
      <c r="Y125" s="1358"/>
      <c r="Z125" s="1414" t="s">
        <v>303</v>
      </c>
      <c r="AB125" s="1422"/>
      <c r="AC125" s="1422"/>
      <c r="AE125" s="1360">
        <v>54113.31</v>
      </c>
      <c r="AF125" s="1514">
        <f t="shared" si="17"/>
        <v>0.12517608590979895</v>
      </c>
      <c r="AG125" s="1423">
        <f t="shared" si="16"/>
        <v>378135.70689291944</v>
      </c>
      <c r="AJ125" s="1431"/>
      <c r="AK125" s="1448" t="s">
        <v>6053</v>
      </c>
      <c r="AL125" s="1449" t="s">
        <v>5462</v>
      </c>
      <c r="AM125" s="1511" t="s">
        <v>5444</v>
      </c>
      <c r="AN125" s="1453" t="s">
        <v>5440</v>
      </c>
      <c r="AO125" s="1453" t="s">
        <v>5440</v>
      </c>
      <c r="AP125" s="1451" t="s">
        <v>5365</v>
      </c>
      <c r="AQ125" s="1361">
        <v>54113.31</v>
      </c>
      <c r="AR125" s="1453" t="s">
        <v>5464</v>
      </c>
      <c r="AS125" s="1453" t="s">
        <v>5442</v>
      </c>
      <c r="AT125" s="1453" t="s">
        <v>5381</v>
      </c>
    </row>
    <row r="126" spans="1:46" ht="11.25">
      <c r="A126" s="1439"/>
      <c r="B126" s="1440"/>
      <c r="C126" s="1439" t="s">
        <v>426</v>
      </c>
      <c r="K126" s="1423" t="s">
        <v>403</v>
      </c>
      <c r="L126" s="1439"/>
      <c r="M126" s="1442">
        <v>13295.45</v>
      </c>
      <c r="N126" s="1358">
        <f>+M126</f>
        <v>13295.45</v>
      </c>
      <c r="O126" s="1517"/>
      <c r="P126" s="1442"/>
      <c r="Q126" s="1442"/>
      <c r="R126" s="1444">
        <f>+S126*N126</f>
        <v>2326703.75</v>
      </c>
      <c r="S126" s="1358">
        <v>175</v>
      </c>
      <c r="T126" s="1439" t="s">
        <v>302</v>
      </c>
      <c r="U126" s="1439"/>
      <c r="V126" s="1358">
        <f>+R126+951.38+2628.37+7476.61+13106.11+25991.69+19600.41+50074.89+12240.94+8005.58+20556.6+8032.11+17237.68+8072.84+129457.08+21872.82+13032.22+46464.44+2542.64+6108.77-8268.4+64472.78+16056.77-16056.77+15727.12+92906.61</f>
        <v>2904995.04</v>
      </c>
      <c r="W126" s="1358"/>
      <c r="X126" s="1358"/>
      <c r="Y126" s="1358"/>
      <c r="Z126" s="1414" t="s">
        <v>303</v>
      </c>
      <c r="AB126" s="1422"/>
      <c r="AC126" s="1422"/>
      <c r="AE126" s="1360">
        <v>13295.45</v>
      </c>
      <c r="AF126" s="1514">
        <f t="shared" si="17"/>
        <v>3.0755324178274004E-2</v>
      </c>
      <c r="AG126" s="1423">
        <f t="shared" si="16"/>
        <v>92906.613626286504</v>
      </c>
      <c r="AJ126" s="1431"/>
      <c r="AK126" s="1448" t="s">
        <v>6054</v>
      </c>
      <c r="AL126" s="1449" t="s">
        <v>5469</v>
      </c>
      <c r="AM126" s="1511" t="s">
        <v>5470</v>
      </c>
      <c r="AN126" s="1453" t="s">
        <v>5440</v>
      </c>
      <c r="AO126" s="1453" t="s">
        <v>5440</v>
      </c>
      <c r="AP126" s="1451" t="s">
        <v>5393</v>
      </c>
      <c r="AQ126" s="1361">
        <v>13295.45</v>
      </c>
      <c r="AR126" s="1453" t="s">
        <v>5464</v>
      </c>
      <c r="AS126" s="1453" t="s">
        <v>5442</v>
      </c>
      <c r="AT126" s="1453" t="s">
        <v>5381</v>
      </c>
    </row>
    <row r="127" spans="1:46" ht="11.25">
      <c r="A127" s="1439" t="s">
        <v>427</v>
      </c>
      <c r="B127" s="1440">
        <v>3</v>
      </c>
      <c r="C127" s="1439" t="s">
        <v>428</v>
      </c>
      <c r="D127" s="1423">
        <v>3000000</v>
      </c>
      <c r="E127" s="1456">
        <v>40045</v>
      </c>
      <c r="F127" s="1456">
        <v>40147</v>
      </c>
      <c r="K127" s="1423" t="s">
        <v>403</v>
      </c>
      <c r="L127" s="1439"/>
      <c r="M127" s="1442"/>
      <c r="N127" s="1358">
        <v>20000</v>
      </c>
      <c r="O127" s="1517"/>
      <c r="P127" s="1442"/>
      <c r="Q127" s="1442"/>
      <c r="R127" s="1444"/>
      <c r="S127" s="1358"/>
      <c r="T127" s="1439"/>
      <c r="U127" s="1439"/>
      <c r="V127" s="1358"/>
      <c r="W127" s="1358"/>
      <c r="X127" s="1358"/>
      <c r="Y127" s="1358">
        <f>3000000+3953.79+11246.87+19715.19+39098.63+29484.38+75326.35+18413.72+12042.59+30922.75+12082.49+25930.2+12143.77+194738.93+32902.72+19604.03+69895.26+3824.83+9189.273-12437.94+96984.72+24153.78-24153.78+23657.9+139757.01</f>
        <v>3868477.4630000005</v>
      </c>
      <c r="AB127" s="1422"/>
      <c r="AC127" s="1422"/>
      <c r="AE127" s="1365">
        <v>20000</v>
      </c>
      <c r="AF127" s="1514">
        <f t="shared" si="17"/>
        <v>4.6264435093620757E-2</v>
      </c>
      <c r="AG127" s="1423">
        <f t="shared" si="16"/>
        <v>139757.00502997116</v>
      </c>
      <c r="AJ127" s="1431"/>
      <c r="AK127" s="1448" t="s">
        <v>6055</v>
      </c>
      <c r="AL127" s="1449" t="s">
        <v>5471</v>
      </c>
      <c r="AM127" s="1511" t="s">
        <v>5472</v>
      </c>
      <c r="AN127" s="1453" t="s">
        <v>5440</v>
      </c>
      <c r="AO127" s="1453" t="s">
        <v>5440</v>
      </c>
      <c r="AP127" s="1451" t="s">
        <v>5473</v>
      </c>
      <c r="AQ127" s="1361">
        <v>20000</v>
      </c>
      <c r="AR127" s="1453" t="s">
        <v>5474</v>
      </c>
      <c r="AS127" s="1453" t="s">
        <v>5442</v>
      </c>
      <c r="AT127" s="1453"/>
    </row>
    <row r="128" spans="1:46" ht="11.25">
      <c r="A128" s="1439"/>
      <c r="B128" s="1440"/>
      <c r="C128" s="1439"/>
      <c r="K128" s="1423"/>
      <c r="L128" s="1439"/>
      <c r="M128" s="1442"/>
      <c r="N128" s="1358"/>
      <c r="O128" s="1517"/>
      <c r="P128" s="1442"/>
      <c r="Q128" s="1442"/>
      <c r="R128" s="1444"/>
      <c r="S128" s="1358"/>
      <c r="T128" s="1439"/>
      <c r="U128" s="1439"/>
      <c r="V128" s="1358"/>
      <c r="W128" s="1358"/>
      <c r="X128" s="1358"/>
      <c r="Y128" s="1358"/>
      <c r="AB128" s="1422"/>
      <c r="AC128" s="1422"/>
      <c r="AE128" s="1366"/>
      <c r="AG128" s="1423"/>
      <c r="AK128" s="1448"/>
      <c r="AL128" s="1449"/>
      <c r="AM128" s="1511"/>
      <c r="AN128" s="1453"/>
      <c r="AO128" s="1453"/>
      <c r="AP128" s="1451"/>
      <c r="AQ128" s="1361"/>
      <c r="AR128" s="1453"/>
      <c r="AS128" s="1453"/>
      <c r="AT128" s="1453"/>
    </row>
    <row r="129" spans="1:46" ht="11.25">
      <c r="A129" s="1439"/>
      <c r="B129" s="1471">
        <v>65</v>
      </c>
      <c r="C129" s="1508" t="s">
        <v>403</v>
      </c>
      <c r="D129" s="1508"/>
      <c r="E129" s="1508"/>
      <c r="F129" s="1508"/>
      <c r="G129" s="1508"/>
      <c r="H129" s="1508"/>
      <c r="I129" s="1508"/>
      <c r="J129" s="1508"/>
      <c r="K129" s="1472" t="s">
        <v>98</v>
      </c>
      <c r="L129" s="1455">
        <f>SUM(L98:L126)</f>
        <v>223247.42799999999</v>
      </c>
      <c r="M129" s="1455">
        <f>SUM(M98:M126)</f>
        <v>240147.7</v>
      </c>
      <c r="N129" s="1455">
        <f>SUM(N98:N128)</f>
        <v>432297.50800000003</v>
      </c>
      <c r="O129" s="1455">
        <f>SUM(O98:O128)</f>
        <v>0</v>
      </c>
      <c r="P129" s="1455">
        <f>SUM(P98:P126)</f>
        <v>44257027.43</v>
      </c>
      <c r="Q129" s="1455">
        <f>SUM(Q98:Q126)</f>
        <v>199202.93799999997</v>
      </c>
      <c r="R129" s="1455">
        <f>SUM(R98:R126)</f>
        <v>86022945.491959721</v>
      </c>
      <c r="S129" s="1439"/>
      <c r="T129" s="1439"/>
      <c r="U129" s="1439"/>
      <c r="V129" s="1371">
        <f>SUM(V98:V128)</f>
        <v>53132223.339999996</v>
      </c>
      <c r="W129" s="1371">
        <f>SUM(W98:W128)</f>
        <v>0</v>
      </c>
      <c r="X129" s="1371">
        <f>SUM(X98:X128)</f>
        <v>0</v>
      </c>
      <c r="Y129" s="1371">
        <f>SUM(Y98:Y128)</f>
        <v>54672762.944959715</v>
      </c>
      <c r="AB129" s="1422"/>
      <c r="AC129" s="1515"/>
      <c r="AE129" s="1423"/>
      <c r="AK129" s="1448"/>
      <c r="AL129" s="1449"/>
      <c r="AM129" s="1511"/>
      <c r="AN129" s="1453"/>
      <c r="AO129" s="1453"/>
      <c r="AP129" s="1451"/>
      <c r="AQ129" s="1361"/>
      <c r="AR129" s="1453"/>
      <c r="AS129" s="1453"/>
      <c r="AT129" s="1453"/>
    </row>
    <row r="130" spans="1:46" ht="11.25">
      <c r="B130" s="1415"/>
      <c r="C130" s="1467"/>
      <c r="D130" s="1467"/>
      <c r="E130" s="1467"/>
      <c r="F130" s="1467"/>
      <c r="G130" s="1467"/>
      <c r="H130" s="1467"/>
      <c r="I130" s="1467"/>
      <c r="J130" s="1467"/>
      <c r="K130" s="1468" t="s">
        <v>365</v>
      </c>
      <c r="L130" s="1499">
        <f>L129</f>
        <v>223247.42799999999</v>
      </c>
      <c r="M130" s="1499">
        <f t="shared" ref="M130:Y130" si="24">M129</f>
        <v>240147.7</v>
      </c>
      <c r="N130" s="1499">
        <f t="shared" si="24"/>
        <v>432297.50800000003</v>
      </c>
      <c r="O130" s="1499">
        <f t="shared" si="24"/>
        <v>0</v>
      </c>
      <c r="P130" s="1499">
        <f t="shared" si="24"/>
        <v>44257027.43</v>
      </c>
      <c r="Q130" s="1499">
        <f t="shared" si="24"/>
        <v>199202.93799999997</v>
      </c>
      <c r="R130" s="1499">
        <f t="shared" si="24"/>
        <v>86022945.491959721</v>
      </c>
      <c r="S130" s="1499"/>
      <c r="T130" s="1499">
        <f t="shared" si="24"/>
        <v>0</v>
      </c>
      <c r="U130" s="1499">
        <f t="shared" si="24"/>
        <v>0</v>
      </c>
      <c r="V130" s="1499">
        <f t="shared" si="24"/>
        <v>53132223.339999996</v>
      </c>
      <c r="W130" s="1499">
        <f t="shared" si="24"/>
        <v>0</v>
      </c>
      <c r="X130" s="1499">
        <f t="shared" si="24"/>
        <v>0</v>
      </c>
      <c r="Y130" s="1499">
        <f t="shared" si="24"/>
        <v>54672762.944959715</v>
      </c>
      <c r="AB130" s="1422"/>
      <c r="AC130" s="1515"/>
      <c r="AK130" s="1448"/>
      <c r="AL130" s="1449"/>
      <c r="AM130" s="1511"/>
      <c r="AN130" s="1453"/>
      <c r="AO130" s="1453"/>
      <c r="AP130" s="1451"/>
      <c r="AQ130" s="1361"/>
      <c r="AR130" s="1453"/>
      <c r="AS130" s="1453"/>
      <c r="AT130" s="1453"/>
    </row>
    <row r="131" spans="1:46" ht="11.25">
      <c r="B131" s="1415"/>
      <c r="C131" s="1467"/>
      <c r="D131" s="1467"/>
      <c r="E131" s="1467"/>
      <c r="F131" s="1467"/>
      <c r="G131" s="1467"/>
      <c r="H131" s="1467"/>
      <c r="I131" s="1467"/>
      <c r="J131" s="1467"/>
      <c r="K131" s="1468"/>
      <c r="L131" s="1499"/>
      <c r="M131" s="1499"/>
      <c r="N131" s="1499"/>
      <c r="O131" s="1499"/>
      <c r="P131" s="1499"/>
      <c r="Q131" s="1499"/>
      <c r="R131" s="1499"/>
      <c r="V131" s="1368"/>
      <c r="W131" s="1368"/>
      <c r="X131" s="1368"/>
      <c r="Y131" s="1368"/>
      <c r="AB131" s="1422"/>
      <c r="AC131" s="1515"/>
      <c r="AK131" s="1448"/>
      <c r="AL131" s="1449"/>
      <c r="AM131" s="1511"/>
      <c r="AN131" s="1453"/>
      <c r="AO131" s="1453"/>
      <c r="AP131" s="1451"/>
      <c r="AQ131" s="1361"/>
      <c r="AR131" s="1453"/>
      <c r="AS131" s="1453"/>
      <c r="AT131" s="1453"/>
    </row>
    <row r="132" spans="1:46" ht="10.15" customHeight="1">
      <c r="B132" s="1415"/>
      <c r="C132" s="1416"/>
      <c r="D132" s="1416"/>
      <c r="E132" s="1416"/>
      <c r="F132" s="1416"/>
      <c r="G132" s="1416"/>
      <c r="H132" s="1416"/>
      <c r="I132" s="1416"/>
      <c r="J132" s="1416"/>
      <c r="K132" s="1499"/>
      <c r="L132" s="1499"/>
      <c r="M132" s="1499"/>
      <c r="N132" s="1431"/>
      <c r="O132" s="1499"/>
      <c r="R132" s="1431"/>
      <c r="S132" s="1366">
        <v>4340621</v>
      </c>
      <c r="AB132" s="1422"/>
      <c r="AC132" s="1422"/>
      <c r="AK132" s="1448"/>
      <c r="AL132" s="1449"/>
      <c r="AM132" s="1511"/>
      <c r="AN132" s="1453"/>
      <c r="AO132" s="1453"/>
      <c r="AP132" s="1451"/>
      <c r="AQ132" s="1361"/>
      <c r="AR132" s="1453"/>
      <c r="AS132" s="1453"/>
      <c r="AT132" s="1453"/>
    </row>
    <row r="133" spans="1:46" ht="10.15" customHeight="1">
      <c r="B133" s="1415"/>
      <c r="C133" s="1416"/>
      <c r="D133" s="1416"/>
      <c r="E133" s="1416"/>
      <c r="F133" s="1416"/>
      <c r="G133" s="1416"/>
      <c r="H133" s="1416"/>
      <c r="I133" s="1416"/>
      <c r="J133" s="1416"/>
      <c r="K133" s="1499"/>
      <c r="L133" s="1499"/>
      <c r="M133" s="1499"/>
      <c r="N133" s="1431"/>
      <c r="O133" s="1499"/>
      <c r="R133" s="1431"/>
      <c r="S133" s="1366"/>
      <c r="AB133" s="1422"/>
      <c r="AC133" s="1422"/>
      <c r="AK133" s="1448"/>
      <c r="AL133" s="1449"/>
      <c r="AM133" s="1511"/>
      <c r="AN133" s="1453"/>
      <c r="AO133" s="1453"/>
      <c r="AP133" s="1451"/>
      <c r="AQ133" s="1361"/>
      <c r="AR133" s="1453"/>
      <c r="AS133" s="1453"/>
      <c r="AT133" s="1453"/>
    </row>
    <row r="134" spans="1:46" ht="11.25">
      <c r="A134" s="1971" t="s">
        <v>100</v>
      </c>
      <c r="B134" s="1972"/>
      <c r="C134" s="1972"/>
      <c r="D134" s="1972"/>
      <c r="E134" s="1972"/>
      <c r="F134" s="1972"/>
      <c r="G134" s="1972"/>
      <c r="H134" s="1972"/>
      <c r="I134" s="1972"/>
      <c r="J134" s="1972"/>
      <c r="K134" s="1972"/>
      <c r="L134" s="1972"/>
      <c r="M134" s="1972"/>
      <c r="N134" s="1972"/>
      <c r="O134" s="1973"/>
      <c r="P134" s="1417"/>
      <c r="Q134" s="1418"/>
      <c r="R134" s="1419"/>
      <c r="S134" s="1420"/>
      <c r="T134" s="1421"/>
      <c r="U134" s="1419"/>
      <c r="V134" s="1375"/>
      <c r="W134" s="1376"/>
      <c r="X134" s="1376"/>
      <c r="Y134" s="1377"/>
      <c r="AB134" s="1422"/>
      <c r="AC134" s="1422"/>
      <c r="AK134" s="1448"/>
      <c r="AL134" s="1449"/>
      <c r="AM134" s="1511"/>
      <c r="AN134" s="1453"/>
      <c r="AO134" s="1453"/>
      <c r="AP134" s="1451"/>
      <c r="AQ134" s="1361"/>
      <c r="AR134" s="1453"/>
      <c r="AS134" s="1453"/>
      <c r="AT134" s="1453"/>
    </row>
    <row r="135" spans="1:46" ht="11.25">
      <c r="A135" s="1424"/>
      <c r="B135" s="1425"/>
      <c r="C135" s="1426" t="s">
        <v>256</v>
      </c>
      <c r="D135" s="1426" t="s">
        <v>257</v>
      </c>
      <c r="E135" s="1427" t="s">
        <v>258</v>
      </c>
      <c r="F135" s="1427" t="s">
        <v>259</v>
      </c>
      <c r="G135" s="1427" t="s">
        <v>260</v>
      </c>
      <c r="H135" s="1427" t="s">
        <v>261</v>
      </c>
      <c r="I135" s="1427" t="s">
        <v>262</v>
      </c>
      <c r="J135" s="1427" t="s">
        <v>263</v>
      </c>
      <c r="K135" s="1974" t="s">
        <v>264</v>
      </c>
      <c r="L135" s="1975"/>
      <c r="M135" s="1975"/>
      <c r="N135" s="1975" t="s">
        <v>265</v>
      </c>
      <c r="O135" s="1976"/>
      <c r="P135" s="1428"/>
      <c r="Q135" s="1429"/>
      <c r="R135" s="1430" t="s">
        <v>266</v>
      </c>
      <c r="S135" s="1430" t="s">
        <v>267</v>
      </c>
      <c r="T135" s="1430"/>
      <c r="U135" s="1430"/>
      <c r="V135" s="1977" t="s">
        <v>268</v>
      </c>
      <c r="W135" s="1978"/>
      <c r="X135" s="1978"/>
      <c r="Y135" s="1979"/>
      <c r="AB135" s="1422"/>
      <c r="AC135" s="1422"/>
      <c r="AF135" s="1499">
        <f>SUM(AE137:AE151)</f>
        <v>329049.67</v>
      </c>
      <c r="AK135" s="1448"/>
      <c r="AL135" s="1449"/>
      <c r="AM135" s="1511"/>
      <c r="AN135" s="1453"/>
      <c r="AO135" s="1453"/>
      <c r="AP135" s="1451"/>
      <c r="AQ135" s="1361"/>
      <c r="AR135" s="1453"/>
      <c r="AS135" s="1453"/>
      <c r="AT135" s="1453"/>
    </row>
    <row r="136" spans="1:46" ht="14.25" customHeight="1">
      <c r="A136" s="1470" t="s">
        <v>269</v>
      </c>
      <c r="B136" s="1471" t="s">
        <v>270</v>
      </c>
      <c r="C136" s="1470" t="s">
        <v>271</v>
      </c>
      <c r="D136" s="1436"/>
      <c r="E136" s="1436"/>
      <c r="F136" s="1436"/>
      <c r="G136" s="1436"/>
      <c r="H136" s="1436"/>
      <c r="I136" s="1436"/>
      <c r="J136" s="1436"/>
      <c r="K136" s="1436" t="s">
        <v>272</v>
      </c>
      <c r="L136" s="1496" t="s">
        <v>370</v>
      </c>
      <c r="M136" s="1471" t="s">
        <v>274</v>
      </c>
      <c r="N136" s="1471" t="s">
        <v>275</v>
      </c>
      <c r="O136" s="1471" t="s">
        <v>276</v>
      </c>
      <c r="P136" s="1437" t="s">
        <v>277</v>
      </c>
      <c r="Q136" s="1437" t="s">
        <v>278</v>
      </c>
      <c r="R136" s="1438" t="s">
        <v>279</v>
      </c>
      <c r="S136" s="1438" t="s">
        <v>280</v>
      </c>
      <c r="T136" s="1438" t="s">
        <v>281</v>
      </c>
      <c r="U136" s="1438" t="s">
        <v>282</v>
      </c>
      <c r="V136" s="1378" t="s">
        <v>283</v>
      </c>
      <c r="W136" s="1378" t="s">
        <v>284</v>
      </c>
      <c r="X136" s="1378" t="s">
        <v>285</v>
      </c>
      <c r="Y136" s="1378" t="s">
        <v>286</v>
      </c>
      <c r="AB136" s="1422"/>
      <c r="AC136" s="1422"/>
      <c r="AF136" s="1432">
        <v>1</v>
      </c>
      <c r="AG136" s="1455">
        <v>346454.19</v>
      </c>
      <c r="AK136" s="1448"/>
      <c r="AL136" s="1449"/>
      <c r="AM136" s="1511"/>
      <c r="AN136" s="1453"/>
      <c r="AO136" s="1453"/>
      <c r="AP136" s="1451"/>
      <c r="AQ136" s="1361"/>
      <c r="AR136" s="1453"/>
      <c r="AS136" s="1453"/>
      <c r="AT136" s="1453"/>
    </row>
    <row r="137" spans="1:46" ht="14.25" customHeight="1">
      <c r="A137" s="1439">
        <v>5</v>
      </c>
      <c r="B137" s="1440">
        <v>7</v>
      </c>
      <c r="C137" s="1439" t="s">
        <v>385</v>
      </c>
      <c r="D137" s="1439"/>
      <c r="E137" s="1439"/>
      <c r="F137" s="1439"/>
      <c r="G137" s="1439"/>
      <c r="H137" s="1439"/>
      <c r="I137" s="1439"/>
      <c r="J137" s="1439"/>
      <c r="K137" s="1439" t="s">
        <v>429</v>
      </c>
      <c r="L137" s="1442">
        <v>12546.43</v>
      </c>
      <c r="M137" s="1364"/>
      <c r="N137" s="1442">
        <f>12546.43-10000</f>
        <v>2546.4300000000003</v>
      </c>
      <c r="O137" s="1442"/>
      <c r="P137" s="1442"/>
      <c r="Q137" s="1442"/>
      <c r="R137" s="1358">
        <f>+S137*L137</f>
        <v>690053.65</v>
      </c>
      <c r="S137" s="1358">
        <v>55</v>
      </c>
      <c r="T137" s="1439" t="s">
        <v>302</v>
      </c>
      <c r="U137" s="1439"/>
      <c r="V137" s="1358"/>
      <c r="W137" s="1358"/>
      <c r="X137" s="1358"/>
      <c r="Y137" s="1358">
        <f>+R137+1532.14+2743.41+2298.2-555239.54</f>
        <v>141387.85999999999</v>
      </c>
      <c r="Z137" s="1414" t="s">
        <v>303</v>
      </c>
      <c r="AB137" s="1422"/>
      <c r="AC137" s="1422"/>
      <c r="AE137" s="1423"/>
      <c r="AF137" s="1519">
        <f>(AE137*$AF$136)/$AF$135</f>
        <v>0</v>
      </c>
      <c r="AG137" s="1423">
        <f>$AG$136*AF137</f>
        <v>0</v>
      </c>
      <c r="AJ137" s="1423"/>
      <c r="AK137" s="1448" t="s">
        <v>6056</v>
      </c>
      <c r="AL137" s="1449" t="s">
        <v>5475</v>
      </c>
      <c r="AM137" s="1511" t="s">
        <v>5444</v>
      </c>
      <c r="AN137" s="1509" t="s">
        <v>5476</v>
      </c>
      <c r="AO137" s="1509" t="s">
        <v>5476</v>
      </c>
      <c r="AP137" s="1451" t="s">
        <v>5393</v>
      </c>
      <c r="AQ137" s="1520">
        <v>2546.4299999999998</v>
      </c>
      <c r="AR137" s="1453" t="s">
        <v>5477</v>
      </c>
      <c r="AS137" s="1453" t="s">
        <v>5478</v>
      </c>
      <c r="AT137" s="1453" t="s">
        <v>5381</v>
      </c>
    </row>
    <row r="138" spans="1:46" ht="14.25" customHeight="1">
      <c r="A138" s="1439">
        <v>5</v>
      </c>
      <c r="B138" s="1440">
        <v>8</v>
      </c>
      <c r="C138" s="1439" t="s">
        <v>385</v>
      </c>
      <c r="D138" s="1439"/>
      <c r="E138" s="1439"/>
      <c r="F138" s="1439"/>
      <c r="G138" s="1439"/>
      <c r="H138" s="1439"/>
      <c r="I138" s="1439"/>
      <c r="J138" s="1439"/>
      <c r="K138" s="1439" t="s">
        <v>429</v>
      </c>
      <c r="L138" s="1442">
        <v>8420.19</v>
      </c>
      <c r="M138" s="1364"/>
      <c r="N138" s="1442">
        <v>8420.19</v>
      </c>
      <c r="O138" s="1442"/>
      <c r="P138" s="1442"/>
      <c r="Q138" s="1442"/>
      <c r="R138" s="1358">
        <f t="shared" ref="R138:R148" si="25">+S138*L138</f>
        <v>463110.45</v>
      </c>
      <c r="S138" s="1358">
        <v>55</v>
      </c>
      <c r="T138" s="1439" t="s">
        <v>302</v>
      </c>
      <c r="U138" s="1439"/>
      <c r="V138" s="1358"/>
      <c r="W138" s="1358"/>
      <c r="X138" s="1358"/>
      <c r="Y138" s="1358">
        <f>+R138+1028.25+1841.16+1542.38</f>
        <v>467522.24</v>
      </c>
      <c r="Z138" s="1414" t="s">
        <v>303</v>
      </c>
      <c r="AB138" s="1422"/>
      <c r="AC138" s="1422"/>
      <c r="AE138" s="1423"/>
      <c r="AF138" s="1519">
        <f t="shared" ref="AF138:AF151" si="26">(AE138*$AF$136)/$AF$135</f>
        <v>0</v>
      </c>
      <c r="AG138" s="1423">
        <f t="shared" ref="AG138:AG151" si="27">$AG$136*AF138</f>
        <v>0</v>
      </c>
      <c r="AJ138" s="1423"/>
      <c r="AK138" s="1448" t="s">
        <v>6057</v>
      </c>
      <c r="AL138" s="1449" t="s">
        <v>5475</v>
      </c>
      <c r="AM138" s="1511" t="s">
        <v>5450</v>
      </c>
      <c r="AN138" s="1452" t="s">
        <v>5476</v>
      </c>
      <c r="AO138" s="1452" t="s">
        <v>5476</v>
      </c>
      <c r="AP138" s="1451" t="s">
        <v>5393</v>
      </c>
      <c r="AQ138" s="1452">
        <v>8420.19</v>
      </c>
      <c r="AR138" s="1453" t="s">
        <v>5477</v>
      </c>
      <c r="AS138" s="1453" t="s">
        <v>5478</v>
      </c>
      <c r="AT138" s="1453" t="s">
        <v>5381</v>
      </c>
    </row>
    <row r="139" spans="1:46" ht="14.25" customHeight="1">
      <c r="A139" s="1439">
        <v>5</v>
      </c>
      <c r="B139" s="1440">
        <v>9</v>
      </c>
      <c r="C139" s="1439" t="s">
        <v>385</v>
      </c>
      <c r="D139" s="1439"/>
      <c r="E139" s="1439"/>
      <c r="F139" s="1439"/>
      <c r="G139" s="1439"/>
      <c r="H139" s="1439"/>
      <c r="I139" s="1439"/>
      <c r="J139" s="1439"/>
      <c r="K139" s="1439" t="s">
        <v>429</v>
      </c>
      <c r="L139" s="1442">
        <v>8427.31</v>
      </c>
      <c r="M139" s="1364"/>
      <c r="N139" s="1442">
        <v>8427.31</v>
      </c>
      <c r="O139" s="1442"/>
      <c r="P139" s="1442"/>
      <c r="Q139" s="1442"/>
      <c r="R139" s="1358">
        <f t="shared" si="25"/>
        <v>463502.05</v>
      </c>
      <c r="S139" s="1358">
        <v>55</v>
      </c>
      <c r="T139" s="1439" t="s">
        <v>302</v>
      </c>
      <c r="U139" s="1439"/>
      <c r="V139" s="1358"/>
      <c r="W139" s="1358"/>
      <c r="X139" s="1358"/>
      <c r="Y139" s="1358">
        <f>+R139+1029.12+1842.72+1543.68</f>
        <v>467917.56999999995</v>
      </c>
      <c r="Z139" s="1414" t="s">
        <v>303</v>
      </c>
      <c r="AB139" s="1422"/>
      <c r="AC139" s="1422"/>
      <c r="AE139" s="1423"/>
      <c r="AF139" s="1519">
        <f t="shared" si="26"/>
        <v>0</v>
      </c>
      <c r="AG139" s="1423">
        <f t="shared" si="27"/>
        <v>0</v>
      </c>
      <c r="AJ139" s="1423"/>
      <c r="AK139" s="1448" t="s">
        <v>6058</v>
      </c>
      <c r="AL139" s="1449" t="s">
        <v>5475</v>
      </c>
      <c r="AM139" s="1511" t="s">
        <v>5451</v>
      </c>
      <c r="AN139" s="1452" t="s">
        <v>5476</v>
      </c>
      <c r="AO139" s="1452" t="s">
        <v>5476</v>
      </c>
      <c r="AP139" s="1451" t="s">
        <v>5393</v>
      </c>
      <c r="AQ139" s="1452">
        <v>8427.31</v>
      </c>
      <c r="AR139" s="1453" t="s">
        <v>5477</v>
      </c>
      <c r="AS139" s="1453" t="s">
        <v>5478</v>
      </c>
      <c r="AT139" s="1453" t="s">
        <v>5381</v>
      </c>
    </row>
    <row r="140" spans="1:46" ht="14.25" customHeight="1">
      <c r="A140" s="1439">
        <v>5</v>
      </c>
      <c r="B140" s="1440">
        <v>10</v>
      </c>
      <c r="C140" s="1439" t="s">
        <v>385</v>
      </c>
      <c r="D140" s="1439"/>
      <c r="E140" s="1439"/>
      <c r="F140" s="1439"/>
      <c r="G140" s="1439"/>
      <c r="H140" s="1439"/>
      <c r="I140" s="1439"/>
      <c r="J140" s="1439"/>
      <c r="K140" s="1439" t="s">
        <v>429</v>
      </c>
      <c r="L140" s="1442">
        <v>9493.6</v>
      </c>
      <c r="M140" s="1364"/>
      <c r="N140" s="1442">
        <v>9493.6</v>
      </c>
      <c r="O140" s="1442"/>
      <c r="P140" s="1442"/>
      <c r="Q140" s="1442"/>
      <c r="R140" s="1358">
        <f t="shared" si="25"/>
        <v>522148</v>
      </c>
      <c r="S140" s="1358">
        <v>55</v>
      </c>
      <c r="T140" s="1439" t="s">
        <v>302</v>
      </c>
      <c r="U140" s="1439"/>
      <c r="V140" s="1358"/>
      <c r="W140" s="1358"/>
      <c r="X140" s="1358"/>
      <c r="Y140" s="1358">
        <f>+R140+1159.33+2075.88+1739</f>
        <v>527122.21</v>
      </c>
      <c r="Z140" s="1414" t="s">
        <v>303</v>
      </c>
      <c r="AB140" s="1422"/>
      <c r="AC140" s="1422"/>
      <c r="AE140" s="1423"/>
      <c r="AF140" s="1519">
        <f t="shared" si="26"/>
        <v>0</v>
      </c>
      <c r="AG140" s="1423">
        <f t="shared" si="27"/>
        <v>0</v>
      </c>
      <c r="AJ140" s="1423"/>
      <c r="AK140" s="1448" t="s">
        <v>6059</v>
      </c>
      <c r="AL140" s="1449" t="s">
        <v>5475</v>
      </c>
      <c r="AM140" s="1511" t="s">
        <v>5479</v>
      </c>
      <c r="AN140" s="1452" t="s">
        <v>5476</v>
      </c>
      <c r="AO140" s="1452" t="s">
        <v>5476</v>
      </c>
      <c r="AP140" s="1451" t="s">
        <v>5393</v>
      </c>
      <c r="AQ140" s="1452">
        <v>9493.6</v>
      </c>
      <c r="AR140" s="1453" t="s">
        <v>5477</v>
      </c>
      <c r="AS140" s="1453" t="s">
        <v>5478</v>
      </c>
      <c r="AT140" s="1453" t="s">
        <v>5381</v>
      </c>
    </row>
    <row r="141" spans="1:46" ht="14.25" hidden="1" customHeight="1">
      <c r="A141" s="1439">
        <v>5</v>
      </c>
      <c r="B141" s="1440">
        <v>11</v>
      </c>
      <c r="C141" s="1439" t="s">
        <v>430</v>
      </c>
      <c r="D141" s="1439"/>
      <c r="E141" s="1439"/>
      <c r="F141" s="1439"/>
      <c r="G141" s="1439"/>
      <c r="H141" s="1439"/>
      <c r="I141" s="1439"/>
      <c r="J141" s="1439"/>
      <c r="K141" s="1439" t="s">
        <v>429</v>
      </c>
      <c r="L141" s="1442">
        <v>10068.92</v>
      </c>
      <c r="M141" s="1364"/>
      <c r="N141" s="1442"/>
      <c r="O141" s="1442">
        <f>+L141-10068.92</f>
        <v>0</v>
      </c>
      <c r="P141" s="1442"/>
      <c r="Q141" s="1442"/>
      <c r="R141" s="1358">
        <f t="shared" si="25"/>
        <v>251723</v>
      </c>
      <c r="S141" s="1358">
        <v>25</v>
      </c>
      <c r="T141" s="1439" t="s">
        <v>342</v>
      </c>
      <c r="U141" s="1439"/>
      <c r="V141" s="1358"/>
      <c r="W141" s="1358">
        <f>+R141-251723</f>
        <v>0</v>
      </c>
      <c r="X141" s="1358"/>
      <c r="Y141" s="1358"/>
      <c r="Z141" s="1414" t="s">
        <v>303</v>
      </c>
      <c r="AB141" s="1422"/>
      <c r="AC141" s="1422"/>
      <c r="AE141" s="1423"/>
      <c r="AF141" s="1519">
        <f t="shared" si="26"/>
        <v>0</v>
      </c>
      <c r="AG141" s="1423">
        <f t="shared" si="27"/>
        <v>0</v>
      </c>
      <c r="AJ141" s="1423"/>
      <c r="AK141" s="1448"/>
      <c r="AL141" s="1449"/>
      <c r="AM141" s="1511"/>
      <c r="AN141" s="1452"/>
      <c r="AO141" s="1452"/>
      <c r="AP141" s="1451"/>
      <c r="AQ141" s="1452"/>
      <c r="AR141" s="1453"/>
      <c r="AS141" s="1453"/>
      <c r="AT141" s="1453"/>
    </row>
    <row r="142" spans="1:46" ht="14.25" customHeight="1">
      <c r="A142" s="1439">
        <v>6</v>
      </c>
      <c r="B142" s="1440">
        <v>1</v>
      </c>
      <c r="C142" s="1439" t="s">
        <v>385</v>
      </c>
      <c r="D142" s="1439"/>
      <c r="E142" s="1439"/>
      <c r="F142" s="1439"/>
      <c r="G142" s="1439"/>
      <c r="H142" s="1439"/>
      <c r="I142" s="1439"/>
      <c r="J142" s="1439"/>
      <c r="K142" s="1439" t="s">
        <v>429</v>
      </c>
      <c r="L142" s="1442">
        <v>59402.67</v>
      </c>
      <c r="M142" s="1364"/>
      <c r="N142" s="1442"/>
      <c r="O142" s="1442">
        <f>59402.67-40000</f>
        <v>19402.669999999998</v>
      </c>
      <c r="P142" s="1442"/>
      <c r="Q142" s="1442"/>
      <c r="R142" s="1358">
        <f t="shared" si="25"/>
        <v>1485066.75</v>
      </c>
      <c r="S142" s="1358">
        <v>25</v>
      </c>
      <c r="T142" s="1439" t="s">
        <v>342</v>
      </c>
      <c r="U142" s="1439"/>
      <c r="V142" s="1358"/>
      <c r="W142" s="1358">
        <f>+R142+7254.09+12989.03+39513.9+10881.14-1047565.65</f>
        <v>508139.25999999989</v>
      </c>
      <c r="X142" s="1358"/>
      <c r="Y142" s="1358"/>
      <c r="Z142" s="1414" t="s">
        <v>303</v>
      </c>
      <c r="AB142" s="1422"/>
      <c r="AC142" s="1422"/>
      <c r="AE142" s="1423">
        <f>O142</f>
        <v>19402.669999999998</v>
      </c>
      <c r="AF142" s="1519">
        <f t="shared" si="26"/>
        <v>5.8965778631536084E-2</v>
      </c>
      <c r="AG142" s="1423">
        <f t="shared" si="27"/>
        <v>20428.941073508144</v>
      </c>
      <c r="AJ142" s="1423"/>
      <c r="AK142" s="1448" t="s">
        <v>6060</v>
      </c>
      <c r="AL142" s="1449" t="s">
        <v>5454</v>
      </c>
      <c r="AM142" s="1511" t="s">
        <v>5463</v>
      </c>
      <c r="AN142" s="1452" t="s">
        <v>5476</v>
      </c>
      <c r="AO142" s="1452" t="s">
        <v>5476</v>
      </c>
      <c r="AP142" s="1451" t="s">
        <v>5393</v>
      </c>
      <c r="AQ142" s="1452">
        <v>19402.669999999998</v>
      </c>
      <c r="AR142" s="1453" t="s">
        <v>5477</v>
      </c>
      <c r="AS142" s="1453" t="s">
        <v>5478</v>
      </c>
      <c r="AT142" s="1453" t="s">
        <v>5381</v>
      </c>
    </row>
    <row r="143" spans="1:46" ht="14.25" customHeight="1">
      <c r="A143" s="1439">
        <v>7</v>
      </c>
      <c r="B143" s="1440" t="s">
        <v>431</v>
      </c>
      <c r="C143" s="1439" t="s">
        <v>432</v>
      </c>
      <c r="D143" s="1439"/>
      <c r="E143" s="1439"/>
      <c r="F143" s="1439"/>
      <c r="G143" s="1439"/>
      <c r="H143" s="1439"/>
      <c r="I143" s="1439"/>
      <c r="J143" s="1439"/>
      <c r="K143" s="1439" t="s">
        <v>429</v>
      </c>
      <c r="L143" s="1442"/>
      <c r="M143" s="1364">
        <v>2927.61</v>
      </c>
      <c r="N143" s="1364">
        <v>2927.61</v>
      </c>
      <c r="O143" s="1442"/>
      <c r="P143" s="1442">
        <v>161018.54999999999</v>
      </c>
      <c r="Q143" s="1442">
        <v>2927.61</v>
      </c>
      <c r="R143" s="1358">
        <f>+P143</f>
        <v>161018.54999999999</v>
      </c>
      <c r="S143" s="1444">
        <f>+P143/Q143</f>
        <v>54.999999999999993</v>
      </c>
      <c r="T143" s="1445" t="s">
        <v>291</v>
      </c>
      <c r="U143" s="1446">
        <v>38581</v>
      </c>
      <c r="V143" s="1358">
        <f>+R143+357.51+590.15+536.27</f>
        <v>162502.47999999998</v>
      </c>
      <c r="W143" s="1358"/>
      <c r="X143" s="1358"/>
      <c r="Y143" s="1358"/>
      <c r="Z143" s="1414" t="s">
        <v>292</v>
      </c>
      <c r="AA143" s="1414" t="s">
        <v>433</v>
      </c>
      <c r="AB143" s="1422"/>
      <c r="AC143" s="1422"/>
      <c r="AE143" s="1423"/>
      <c r="AF143" s="1519">
        <f t="shared" si="26"/>
        <v>0</v>
      </c>
      <c r="AG143" s="1423">
        <f t="shared" si="27"/>
        <v>0</v>
      </c>
      <c r="AJ143" s="1423"/>
      <c r="AK143" s="1448" t="s">
        <v>6061</v>
      </c>
      <c r="AL143" s="1449" t="s">
        <v>5369</v>
      </c>
      <c r="AM143" s="1511" t="s">
        <v>5480</v>
      </c>
      <c r="AN143" s="1452" t="s">
        <v>5476</v>
      </c>
      <c r="AO143" s="1452" t="s">
        <v>5476</v>
      </c>
      <c r="AP143" s="1451" t="s">
        <v>5365</v>
      </c>
      <c r="AQ143" s="1452">
        <v>2927.61</v>
      </c>
      <c r="AR143" s="1453" t="s">
        <v>5477</v>
      </c>
      <c r="AS143" s="1453" t="s">
        <v>5478</v>
      </c>
      <c r="AT143" s="1453" t="s">
        <v>5381</v>
      </c>
    </row>
    <row r="144" spans="1:46" ht="14.25" customHeight="1">
      <c r="A144" s="1414">
        <v>7</v>
      </c>
      <c r="B144" s="1440">
        <v>4</v>
      </c>
      <c r="C144" s="1414" t="s">
        <v>385</v>
      </c>
      <c r="K144" s="1439" t="s">
        <v>429</v>
      </c>
      <c r="L144" s="1442">
        <v>12109.5</v>
      </c>
      <c r="N144" s="1442">
        <v>12109.5</v>
      </c>
      <c r="O144" s="1439"/>
      <c r="P144" s="1442"/>
      <c r="Q144" s="1442"/>
      <c r="R144" s="1358">
        <f t="shared" si="25"/>
        <v>666022.5</v>
      </c>
      <c r="S144" s="1358">
        <v>55</v>
      </c>
      <c r="T144" s="1439" t="s">
        <v>302</v>
      </c>
      <c r="U144" s="1439"/>
      <c r="V144" s="1358"/>
      <c r="W144" s="1358"/>
      <c r="X144" s="1358"/>
      <c r="Y144" s="1358">
        <f>+R144+1478.78+2647.87+2218.17</f>
        <v>672367.32000000007</v>
      </c>
      <c r="Z144" s="1414" t="s">
        <v>303</v>
      </c>
      <c r="AB144" s="1422"/>
      <c r="AC144" s="1422"/>
      <c r="AE144" s="1423"/>
      <c r="AF144" s="1519">
        <f t="shared" si="26"/>
        <v>0</v>
      </c>
      <c r="AG144" s="1423">
        <f t="shared" si="27"/>
        <v>0</v>
      </c>
      <c r="AJ144" s="1423"/>
      <c r="AK144" s="1448" t="s">
        <v>6062</v>
      </c>
      <c r="AL144" s="1449" t="s">
        <v>5421</v>
      </c>
      <c r="AM144" s="1511" t="s">
        <v>5457</v>
      </c>
      <c r="AN144" s="1452" t="s">
        <v>5476</v>
      </c>
      <c r="AO144" s="1452" t="s">
        <v>5476</v>
      </c>
      <c r="AP144" s="1451" t="s">
        <v>5393</v>
      </c>
      <c r="AQ144" s="1452">
        <v>12109.5</v>
      </c>
      <c r="AR144" s="1453" t="s">
        <v>5477</v>
      </c>
      <c r="AS144" s="1453" t="s">
        <v>5478</v>
      </c>
      <c r="AT144" s="1453" t="s">
        <v>5381</v>
      </c>
    </row>
    <row r="145" spans="1:46" ht="14.25" customHeight="1">
      <c r="A145" s="1439">
        <v>7</v>
      </c>
      <c r="B145" s="1440">
        <v>6</v>
      </c>
      <c r="C145" s="1439" t="s">
        <v>385</v>
      </c>
      <c r="D145" s="1439"/>
      <c r="E145" s="1439"/>
      <c r="F145" s="1439"/>
      <c r="G145" s="1439"/>
      <c r="H145" s="1439"/>
      <c r="I145" s="1439"/>
      <c r="J145" s="1439"/>
      <c r="K145" s="1439" t="s">
        <v>429</v>
      </c>
      <c r="L145" s="1442">
        <v>12335.46</v>
      </c>
      <c r="M145" s="1364"/>
      <c r="N145" s="1442">
        <v>12335.46</v>
      </c>
      <c r="O145" s="1455"/>
      <c r="P145" s="1442"/>
      <c r="Q145" s="1442"/>
      <c r="R145" s="1358">
        <f t="shared" si="25"/>
        <v>678450.29999999993</v>
      </c>
      <c r="S145" s="1358">
        <v>55</v>
      </c>
      <c r="T145" s="1439" t="s">
        <v>302</v>
      </c>
      <c r="U145" s="1439"/>
      <c r="V145" s="1358"/>
      <c r="W145" s="1358"/>
      <c r="X145" s="1358"/>
      <c r="Y145" s="1358">
        <f>+R145+1506.37+2697.28+2259.56</f>
        <v>684913.51</v>
      </c>
      <c r="Z145" s="1414" t="s">
        <v>303</v>
      </c>
      <c r="AB145" s="1422"/>
      <c r="AC145" s="1422"/>
      <c r="AE145" s="1423"/>
      <c r="AF145" s="1519">
        <f t="shared" si="26"/>
        <v>0</v>
      </c>
      <c r="AG145" s="1423">
        <f t="shared" si="27"/>
        <v>0</v>
      </c>
      <c r="AJ145" s="1423"/>
      <c r="AK145" s="1448" t="s">
        <v>6063</v>
      </c>
      <c r="AL145" s="1449" t="s">
        <v>5481</v>
      </c>
      <c r="AM145" s="1511" t="s">
        <v>5449</v>
      </c>
      <c r="AN145" s="1452" t="s">
        <v>5476</v>
      </c>
      <c r="AO145" s="1452" t="s">
        <v>5476</v>
      </c>
      <c r="AP145" s="1451" t="s">
        <v>5393</v>
      </c>
      <c r="AQ145" s="1452">
        <v>12335.46</v>
      </c>
      <c r="AR145" s="1453" t="s">
        <v>5477</v>
      </c>
      <c r="AS145" s="1453" t="s">
        <v>5478</v>
      </c>
      <c r="AT145" s="1453" t="s">
        <v>5381</v>
      </c>
    </row>
    <row r="146" spans="1:46" ht="14.25" customHeight="1">
      <c r="A146" s="1439">
        <v>7</v>
      </c>
      <c r="B146" s="1440">
        <v>7</v>
      </c>
      <c r="C146" s="1439" t="s">
        <v>385</v>
      </c>
      <c r="D146" s="1439"/>
      <c r="E146" s="1439"/>
      <c r="F146" s="1439"/>
      <c r="G146" s="1439"/>
      <c r="H146" s="1439"/>
      <c r="I146" s="1439"/>
      <c r="J146" s="1439"/>
      <c r="K146" s="1439" t="s">
        <v>429</v>
      </c>
      <c r="L146" s="1442">
        <v>7725.93</v>
      </c>
      <c r="M146" s="1364"/>
      <c r="N146" s="1442">
        <v>7725.93</v>
      </c>
      <c r="O146" s="1442"/>
      <c r="P146" s="1442"/>
      <c r="Q146" s="1442"/>
      <c r="R146" s="1358">
        <f t="shared" si="25"/>
        <v>193148.25</v>
      </c>
      <c r="S146" s="1358">
        <v>25</v>
      </c>
      <c r="T146" s="1439" t="s">
        <v>342</v>
      </c>
      <c r="U146" s="1439"/>
      <c r="V146" s="1358"/>
      <c r="W146" s="1358">
        <f>+R146+943.47+1689.36+5139.19+1415.2</f>
        <v>202335.47</v>
      </c>
      <c r="X146" s="1358"/>
      <c r="Y146" s="1358"/>
      <c r="Z146" s="1414" t="s">
        <v>303</v>
      </c>
      <c r="AB146" s="1422"/>
      <c r="AC146" s="1422"/>
      <c r="AE146" s="1423">
        <f>O146</f>
        <v>0</v>
      </c>
      <c r="AF146" s="1519">
        <f t="shared" si="26"/>
        <v>0</v>
      </c>
      <c r="AG146" s="1423">
        <f t="shared" si="27"/>
        <v>0</v>
      </c>
      <c r="AJ146" s="1423"/>
      <c r="AK146" s="1448" t="s">
        <v>6064</v>
      </c>
      <c r="AL146" s="1449" t="s">
        <v>5369</v>
      </c>
      <c r="AM146" s="1511" t="s">
        <v>5444</v>
      </c>
      <c r="AN146" s="1452" t="s">
        <v>5476</v>
      </c>
      <c r="AO146" s="1452" t="s">
        <v>5476</v>
      </c>
      <c r="AP146" s="1451" t="s">
        <v>5393</v>
      </c>
      <c r="AQ146" s="1452">
        <v>7725.93</v>
      </c>
      <c r="AR146" s="1453" t="s">
        <v>5477</v>
      </c>
      <c r="AS146" s="1453" t="s">
        <v>5478</v>
      </c>
      <c r="AT146" s="1453" t="s">
        <v>5381</v>
      </c>
    </row>
    <row r="147" spans="1:46" ht="14.25" customHeight="1">
      <c r="A147" s="1439">
        <v>7</v>
      </c>
      <c r="B147" s="1440">
        <v>8</v>
      </c>
      <c r="C147" s="1439" t="s">
        <v>385</v>
      </c>
      <c r="D147" s="1439"/>
      <c r="E147" s="1439"/>
      <c r="F147" s="1439"/>
      <c r="G147" s="1439"/>
      <c r="H147" s="1439"/>
      <c r="I147" s="1439"/>
      <c r="J147" s="1439"/>
      <c r="K147" s="1439" t="s">
        <v>429</v>
      </c>
      <c r="L147" s="1442">
        <v>6335.51</v>
      </c>
      <c r="M147" s="1442"/>
      <c r="N147" s="1442">
        <v>6335.51</v>
      </c>
      <c r="O147" s="1442"/>
      <c r="P147" s="1442"/>
      <c r="Q147" s="1442"/>
      <c r="R147" s="1358">
        <f t="shared" si="25"/>
        <v>158387.75</v>
      </c>
      <c r="S147" s="1358">
        <v>25</v>
      </c>
      <c r="T147" s="1439" t="s">
        <v>342</v>
      </c>
      <c r="U147" s="1439"/>
      <c r="V147" s="1358"/>
      <c r="W147" s="1358">
        <f>+R147+773.68+1385.33+4214.3+1160.51</f>
        <v>165921.56999999998</v>
      </c>
      <c r="X147" s="1358"/>
      <c r="Y147" s="1358"/>
      <c r="Z147" s="1414" t="s">
        <v>303</v>
      </c>
      <c r="AB147" s="1422"/>
      <c r="AC147" s="1422"/>
      <c r="AE147" s="1423">
        <f>O147</f>
        <v>0</v>
      </c>
      <c r="AF147" s="1519">
        <f t="shared" si="26"/>
        <v>0</v>
      </c>
      <c r="AG147" s="1423">
        <f t="shared" si="27"/>
        <v>0</v>
      </c>
      <c r="AJ147" s="1423"/>
      <c r="AK147" s="1448" t="s">
        <v>6065</v>
      </c>
      <c r="AL147" s="1449" t="s">
        <v>5369</v>
      </c>
      <c r="AM147" s="1511" t="s">
        <v>5450</v>
      </c>
      <c r="AN147" s="1452" t="s">
        <v>5476</v>
      </c>
      <c r="AO147" s="1452" t="s">
        <v>5476</v>
      </c>
      <c r="AP147" s="1451" t="s">
        <v>5393</v>
      </c>
      <c r="AQ147" s="1452">
        <v>6335.51</v>
      </c>
      <c r="AR147" s="1453" t="s">
        <v>5477</v>
      </c>
      <c r="AS147" s="1453" t="s">
        <v>5478</v>
      </c>
      <c r="AT147" s="1453" t="s">
        <v>5381</v>
      </c>
    </row>
    <row r="148" spans="1:46" ht="14.25" customHeight="1">
      <c r="A148" s="1439">
        <v>7</v>
      </c>
      <c r="B148" s="1440">
        <v>9</v>
      </c>
      <c r="C148" s="1439" t="s">
        <v>385</v>
      </c>
      <c r="D148" s="1439"/>
      <c r="E148" s="1439"/>
      <c r="F148" s="1439"/>
      <c r="G148" s="1439"/>
      <c r="H148" s="1439"/>
      <c r="I148" s="1439"/>
      <c r="J148" s="1439"/>
      <c r="K148" s="1439" t="s">
        <v>429</v>
      </c>
      <c r="L148" s="1442">
        <v>7725.93</v>
      </c>
      <c r="M148" s="1442"/>
      <c r="N148" s="1442">
        <v>7725.93</v>
      </c>
      <c r="O148" s="1442"/>
      <c r="P148" s="1442"/>
      <c r="Q148" s="1442"/>
      <c r="R148" s="1358">
        <f t="shared" si="25"/>
        <v>193148.25</v>
      </c>
      <c r="S148" s="1358">
        <v>25</v>
      </c>
      <c r="T148" s="1439" t="s">
        <v>342</v>
      </c>
      <c r="U148" s="1439"/>
      <c r="V148" s="1358"/>
      <c r="W148" s="1358">
        <f>+R148+943.47+1689.36+5139.19+1415.2</f>
        <v>202335.47</v>
      </c>
      <c r="X148" s="1358"/>
      <c r="Y148" s="1358"/>
      <c r="Z148" s="1414" t="s">
        <v>303</v>
      </c>
      <c r="AB148" s="1422"/>
      <c r="AC148" s="1422"/>
      <c r="AE148" s="1423">
        <f>O148</f>
        <v>0</v>
      </c>
      <c r="AF148" s="1519">
        <f t="shared" si="26"/>
        <v>0</v>
      </c>
      <c r="AG148" s="1423">
        <f t="shared" si="27"/>
        <v>0</v>
      </c>
      <c r="AJ148" s="1423"/>
      <c r="AK148" s="1448" t="s">
        <v>6066</v>
      </c>
      <c r="AL148" s="1449" t="s">
        <v>5369</v>
      </c>
      <c r="AM148" s="1511" t="s">
        <v>5451</v>
      </c>
      <c r="AN148" s="1452" t="s">
        <v>5476</v>
      </c>
      <c r="AO148" s="1452" t="s">
        <v>5476</v>
      </c>
      <c r="AP148" s="1451" t="s">
        <v>5393</v>
      </c>
      <c r="AQ148" s="1452">
        <v>7725.93</v>
      </c>
      <c r="AR148" s="1453" t="s">
        <v>5477</v>
      </c>
      <c r="AS148" s="1453" t="s">
        <v>5478</v>
      </c>
      <c r="AT148" s="1453" t="s">
        <v>5381</v>
      </c>
    </row>
    <row r="149" spans="1:46" ht="14.25" customHeight="1">
      <c r="A149" s="1439"/>
      <c r="B149" s="1440"/>
      <c r="C149" s="1470" t="s">
        <v>429</v>
      </c>
      <c r="D149" s="1470"/>
      <c r="E149" s="1470"/>
      <c r="F149" s="1470"/>
      <c r="G149" s="1470"/>
      <c r="H149" s="1470"/>
      <c r="I149" s="1470"/>
      <c r="J149" s="1470"/>
      <c r="K149" s="1472" t="s">
        <v>98</v>
      </c>
      <c r="L149" s="1455">
        <f t="shared" ref="L149:Q149" si="28">SUM(L137:L148)</f>
        <v>154591.44999999998</v>
      </c>
      <c r="M149" s="1455">
        <f t="shared" si="28"/>
        <v>2927.61</v>
      </c>
      <c r="N149" s="1455">
        <f t="shared" si="28"/>
        <v>78047.47</v>
      </c>
      <c r="O149" s="1455">
        <f t="shared" si="28"/>
        <v>19402.669999999998</v>
      </c>
      <c r="P149" s="1455">
        <f t="shared" si="28"/>
        <v>161018.54999999999</v>
      </c>
      <c r="Q149" s="1455">
        <f t="shared" si="28"/>
        <v>2927.61</v>
      </c>
      <c r="R149" s="1455">
        <f>SUM(R137:R148)</f>
        <v>5925779.5</v>
      </c>
      <c r="S149" s="1439"/>
      <c r="T149" s="1439"/>
      <c r="U149" s="1439"/>
      <c r="V149" s="1371">
        <f>SUM(V137:V148)</f>
        <v>162502.47999999998</v>
      </c>
      <c r="W149" s="1371">
        <f>SUM(W137:W148)</f>
        <v>1078731.7699999998</v>
      </c>
      <c r="X149" s="1371">
        <f>SUM(X137:X148)</f>
        <v>0</v>
      </c>
      <c r="Y149" s="1371">
        <f>SUM(Y137:Y148)</f>
        <v>2961230.71</v>
      </c>
      <c r="AB149" s="1422"/>
      <c r="AC149" s="1422"/>
      <c r="AE149" s="1423"/>
      <c r="AF149" s="1519">
        <f t="shared" si="26"/>
        <v>0</v>
      </c>
      <c r="AG149" s="1423">
        <f t="shared" si="27"/>
        <v>0</v>
      </c>
      <c r="AK149" s="1448"/>
      <c r="AL149" s="1449"/>
      <c r="AM149" s="1511"/>
      <c r="AN149" s="1452"/>
      <c r="AO149" s="1452"/>
      <c r="AP149" s="1451"/>
      <c r="AQ149" s="1452"/>
      <c r="AR149" s="1453"/>
      <c r="AS149" s="1453"/>
      <c r="AT149" s="1453"/>
    </row>
    <row r="150" spans="1:46" ht="13.5" customHeight="1">
      <c r="A150" s="1521"/>
      <c r="B150" s="1438" t="s">
        <v>376</v>
      </c>
      <c r="C150" s="1458" t="s">
        <v>434</v>
      </c>
      <c r="D150" s="1458"/>
      <c r="E150" s="1458"/>
      <c r="F150" s="1458"/>
      <c r="G150" s="1458"/>
      <c r="H150" s="1458"/>
      <c r="I150" s="1458"/>
      <c r="J150" s="1458"/>
      <c r="K150" s="1439" t="s">
        <v>435</v>
      </c>
      <c r="L150" s="1437"/>
      <c r="M150" s="1367">
        <v>2500</v>
      </c>
      <c r="N150" s="1522"/>
      <c r="O150" s="1367">
        <v>2500</v>
      </c>
      <c r="P150" s="1442">
        <v>25000</v>
      </c>
      <c r="Q150" s="1442">
        <v>2500</v>
      </c>
      <c r="R150" s="1358">
        <f>+P150</f>
        <v>25000</v>
      </c>
      <c r="S150" s="1444">
        <f>+P150/Q150</f>
        <v>10</v>
      </c>
      <c r="T150" s="1445" t="s">
        <v>291</v>
      </c>
      <c r="U150" s="1446">
        <v>38581</v>
      </c>
      <c r="V150" s="1358">
        <f>+R150+305.29+596.65+457.93</f>
        <v>26359.870000000003</v>
      </c>
      <c r="W150" s="1358"/>
      <c r="X150" s="1358"/>
      <c r="Y150" s="1358"/>
      <c r="Z150" s="1488" t="s">
        <v>292</v>
      </c>
      <c r="AA150" s="1488" t="s">
        <v>436</v>
      </c>
      <c r="AB150" s="1487"/>
      <c r="AC150" s="1422"/>
      <c r="AE150" s="1423"/>
      <c r="AF150" s="1519">
        <f t="shared" si="26"/>
        <v>0</v>
      </c>
      <c r="AG150" s="1423">
        <f t="shared" si="27"/>
        <v>0</v>
      </c>
      <c r="AJ150" s="1431"/>
      <c r="AK150" s="1448" t="s">
        <v>6067</v>
      </c>
      <c r="AL150" s="1491" t="s">
        <v>376</v>
      </c>
      <c r="AM150" s="1449" t="s">
        <v>376</v>
      </c>
      <c r="AN150" s="1452" t="s">
        <v>5482</v>
      </c>
      <c r="AO150" s="1452" t="s">
        <v>5482</v>
      </c>
      <c r="AP150" s="1451" t="s">
        <v>5365</v>
      </c>
      <c r="AQ150" s="1452">
        <v>2500</v>
      </c>
      <c r="AR150" s="1453" t="s">
        <v>5483</v>
      </c>
      <c r="AS150" s="1453" t="s">
        <v>5478</v>
      </c>
      <c r="AT150" s="1453" t="s">
        <v>5381</v>
      </c>
    </row>
    <row r="151" spans="1:46" ht="13.5" customHeight="1">
      <c r="A151" s="1436"/>
      <c r="B151" s="1430" t="s">
        <v>376</v>
      </c>
      <c r="C151" s="1523" t="s">
        <v>437</v>
      </c>
      <c r="D151" s="1523"/>
      <c r="E151" s="1523"/>
      <c r="F151" s="1523"/>
      <c r="G151" s="1523"/>
      <c r="H151" s="1523"/>
      <c r="I151" s="1523"/>
      <c r="J151" s="1523"/>
      <c r="K151" s="1439" t="s">
        <v>435</v>
      </c>
      <c r="L151" s="1524">
        <f>439647</f>
        <v>439647</v>
      </c>
      <c r="M151" s="1524"/>
      <c r="N151" s="1428"/>
      <c r="O151" s="1524">
        <f>+L151-130000</f>
        <v>309647</v>
      </c>
      <c r="P151" s="1442">
        <v>11384496.25</v>
      </c>
      <c r="Q151" s="1442">
        <v>455379.85</v>
      </c>
      <c r="R151" s="1358">
        <f>+P151/Q151*L151</f>
        <v>10991175</v>
      </c>
      <c r="S151" s="1444">
        <f>+P151/Q151</f>
        <v>25</v>
      </c>
      <c r="T151" s="1445" t="s">
        <v>335</v>
      </c>
      <c r="U151" s="1446">
        <v>38406</v>
      </c>
      <c r="V151" s="1358"/>
      <c r="W151" s="1358">
        <f>+R151+53668.5+96153.53+292447.61+80532.73-3404588.36</f>
        <v>8109389.0099999998</v>
      </c>
      <c r="X151" s="1358"/>
      <c r="Y151" s="1358"/>
      <c r="Z151" s="1414" t="s">
        <v>292</v>
      </c>
      <c r="AA151" s="1414" t="s">
        <v>438</v>
      </c>
      <c r="AB151" s="1474" t="s">
        <v>439</v>
      </c>
      <c r="AC151" s="1422"/>
      <c r="AE151" s="1423">
        <f>O151</f>
        <v>309647</v>
      </c>
      <c r="AF151" s="1519">
        <f t="shared" si="26"/>
        <v>0.94103422136846393</v>
      </c>
      <c r="AG151" s="1423">
        <f t="shared" si="27"/>
        <v>326025.24892649188</v>
      </c>
      <c r="AJ151" s="1431"/>
      <c r="AK151" s="1448" t="s">
        <v>6068</v>
      </c>
      <c r="AL151" s="1491" t="s">
        <v>376</v>
      </c>
      <c r="AM151" s="1449" t="s">
        <v>376</v>
      </c>
      <c r="AN151" s="1452" t="s">
        <v>5482</v>
      </c>
      <c r="AO151" s="1452" t="s">
        <v>5482</v>
      </c>
      <c r="AP151" s="1451" t="s">
        <v>5393</v>
      </c>
      <c r="AQ151" s="1452">
        <v>309647</v>
      </c>
      <c r="AR151" s="1453" t="s">
        <v>5484</v>
      </c>
      <c r="AS151" s="1453" t="s">
        <v>5478</v>
      </c>
      <c r="AT151" s="1453" t="s">
        <v>5381</v>
      </c>
    </row>
    <row r="152" spans="1:46" ht="13.5" customHeight="1">
      <c r="A152" s="1436"/>
      <c r="B152" s="1430"/>
      <c r="C152" s="1470" t="s">
        <v>440</v>
      </c>
      <c r="D152" s="1523"/>
      <c r="E152" s="1523"/>
      <c r="F152" s="1523"/>
      <c r="G152" s="1523"/>
      <c r="H152" s="1523"/>
      <c r="I152" s="1523"/>
      <c r="J152" s="1523"/>
      <c r="K152" s="1439"/>
      <c r="L152" s="1524"/>
      <c r="M152" s="1524"/>
      <c r="N152" s="1429">
        <f>SUM(N150:N151)</f>
        <v>0</v>
      </c>
      <c r="O152" s="1524"/>
      <c r="P152" s="1442"/>
      <c r="Q152" s="1442"/>
      <c r="R152" s="1358"/>
      <c r="S152" s="1444"/>
      <c r="T152" s="1445"/>
      <c r="U152" s="1446"/>
      <c r="V152" s="1358"/>
      <c r="W152" s="1358"/>
      <c r="X152" s="1358"/>
      <c r="Y152" s="1358"/>
      <c r="AB152" s="1474"/>
      <c r="AC152" s="1422"/>
      <c r="AE152" s="1423"/>
      <c r="AF152" s="1519"/>
      <c r="AG152" s="1423"/>
      <c r="AK152" s="1448"/>
      <c r="AL152" s="1491"/>
      <c r="AM152" s="1449"/>
      <c r="AN152" s="1452"/>
      <c r="AO152" s="1452"/>
      <c r="AP152" s="1451"/>
      <c r="AQ152" s="1452"/>
      <c r="AR152" s="1453"/>
      <c r="AS152" s="1453"/>
      <c r="AT152" s="1453"/>
    </row>
    <row r="153" spans="1:46" ht="13.5" customHeight="1">
      <c r="A153" s="1523" t="s">
        <v>441</v>
      </c>
      <c r="B153" s="1525" t="s">
        <v>442</v>
      </c>
      <c r="C153" s="1523" t="s">
        <v>443</v>
      </c>
      <c r="D153" s="1475">
        <v>7641325</v>
      </c>
      <c r="E153" s="1456">
        <v>41060</v>
      </c>
      <c r="F153" s="1456">
        <v>41060</v>
      </c>
      <c r="G153" s="1523"/>
      <c r="H153" s="1523"/>
      <c r="I153" s="1523"/>
      <c r="J153" s="1523"/>
      <c r="K153" s="1439" t="s">
        <v>444</v>
      </c>
      <c r="L153" s="1524"/>
      <c r="M153" s="1524"/>
      <c r="N153" s="1524">
        <f>65093.54+253893.1-65093.54</f>
        <v>253893.1</v>
      </c>
      <c r="O153" s="1524"/>
      <c r="P153" s="1442"/>
      <c r="Q153" s="1442"/>
      <c r="R153" s="1358"/>
      <c r="S153" s="1444"/>
      <c r="T153" s="1445"/>
      <c r="U153" s="1446"/>
      <c r="V153" s="1358"/>
      <c r="W153" s="1358">
        <f>7641325+475851.5+70000+17241.38-1674222.48</f>
        <v>6530195.4000000004</v>
      </c>
      <c r="X153" s="1358"/>
      <c r="Y153" s="1358"/>
      <c r="AB153" s="1474"/>
      <c r="AC153" s="1422"/>
      <c r="AE153" s="1423"/>
      <c r="AF153" s="1519"/>
      <c r="AG153" s="1423"/>
      <c r="AJ153" s="1423"/>
      <c r="AK153" s="1448" t="s">
        <v>5485</v>
      </c>
      <c r="AL153" s="1449" t="s">
        <v>5486</v>
      </c>
      <c r="AM153" s="1511" t="s">
        <v>5487</v>
      </c>
      <c r="AN153" s="1452" t="s">
        <v>5488</v>
      </c>
      <c r="AO153" s="1452" t="s">
        <v>5488</v>
      </c>
      <c r="AP153" s="1451" t="s">
        <v>5489</v>
      </c>
      <c r="AQ153" s="1452">
        <v>253893.1</v>
      </c>
      <c r="AR153" s="1453" t="s">
        <v>5490</v>
      </c>
      <c r="AS153" s="1453" t="s">
        <v>5491</v>
      </c>
      <c r="AT153" s="1453" t="s">
        <v>5381</v>
      </c>
    </row>
    <row r="154" spans="1:46" ht="13.5" customHeight="1">
      <c r="A154" s="1523"/>
      <c r="B154" s="1525"/>
      <c r="C154" s="1523" t="s">
        <v>445</v>
      </c>
      <c r="D154" s="1475"/>
      <c r="E154" s="1456">
        <v>41306</v>
      </c>
      <c r="F154" s="1456">
        <v>41244</v>
      </c>
      <c r="G154" s="1523"/>
      <c r="H154" s="1523"/>
      <c r="I154" s="1523"/>
      <c r="J154" s="1523"/>
      <c r="K154" s="1439" t="s">
        <v>446</v>
      </c>
      <c r="L154" s="1524"/>
      <c r="M154" s="1524"/>
      <c r="N154" s="1524">
        <v>400</v>
      </c>
      <c r="O154" s="1524"/>
      <c r="P154" s="1442"/>
      <c r="Q154" s="1442"/>
      <c r="R154" s="1358"/>
      <c r="S154" s="1444"/>
      <c r="T154" s="1445"/>
      <c r="U154" s="1446"/>
      <c r="V154" s="1358"/>
      <c r="W154" s="1358"/>
      <c r="X154" s="1358"/>
      <c r="Y154" s="1358">
        <f>480000+18280</f>
        <v>498280</v>
      </c>
      <c r="AB154" s="1474"/>
      <c r="AC154" s="1422"/>
      <c r="AE154" s="1423"/>
      <c r="AF154" s="1519"/>
      <c r="AG154" s="1423"/>
      <c r="AJ154" s="1423"/>
      <c r="AK154" s="1448" t="s">
        <v>6069</v>
      </c>
      <c r="AL154" s="1452" t="s">
        <v>5492</v>
      </c>
      <c r="AM154" s="1453" t="s">
        <v>376</v>
      </c>
      <c r="AN154" s="1451" t="s">
        <v>2</v>
      </c>
      <c r="AO154" s="1451" t="s">
        <v>2</v>
      </c>
      <c r="AP154" s="1526" t="s">
        <v>5399</v>
      </c>
      <c r="AQ154" s="1452">
        <v>400</v>
      </c>
      <c r="AR154" s="1453" t="s">
        <v>5493</v>
      </c>
      <c r="AS154" s="1453" t="s">
        <v>5494</v>
      </c>
      <c r="AT154" s="1453" t="s">
        <v>5381</v>
      </c>
    </row>
    <row r="155" spans="1:46" ht="13.5" customHeight="1">
      <c r="A155" s="1470"/>
      <c r="B155" s="1471"/>
      <c r="C155" s="1472" t="s">
        <v>435</v>
      </c>
      <c r="D155" s="1472"/>
      <c r="E155" s="1472"/>
      <c r="F155" s="1472"/>
      <c r="G155" s="1472"/>
      <c r="H155" s="1472"/>
      <c r="I155" s="1472"/>
      <c r="J155" s="1472"/>
      <c r="K155" s="1472" t="s">
        <v>98</v>
      </c>
      <c r="L155" s="1455">
        <f t="shared" ref="L155:Q155" si="29">SUM(L150:L151)</f>
        <v>439647</v>
      </c>
      <c r="M155" s="1455">
        <f t="shared" si="29"/>
        <v>2500</v>
      </c>
      <c r="N155" s="1455">
        <f>SUM(N152:N154)</f>
        <v>254293.1</v>
      </c>
      <c r="O155" s="1455">
        <f>SUM(O150:O154)</f>
        <v>312147</v>
      </c>
      <c r="P155" s="1455">
        <f t="shared" si="29"/>
        <v>11409496.25</v>
      </c>
      <c r="Q155" s="1455">
        <f t="shared" si="29"/>
        <v>457879.85</v>
      </c>
      <c r="R155" s="1455">
        <f>SUM(R150:R151)</f>
        <v>11016175</v>
      </c>
      <c r="S155" s="1439"/>
      <c r="T155" s="1439"/>
      <c r="U155" s="1439"/>
      <c r="V155" s="1371">
        <f>SUM(V150:V154)</f>
        <v>26359.870000000003</v>
      </c>
      <c r="W155" s="1371">
        <f>SUM(W150:W154)</f>
        <v>14639584.41</v>
      </c>
      <c r="X155" s="1371">
        <f>SUM(X150:X154)</f>
        <v>0</v>
      </c>
      <c r="Y155" s="1371">
        <f>SUM(Y150:Y154)</f>
        <v>498280</v>
      </c>
      <c r="AB155" s="1422"/>
      <c r="AC155" s="1422"/>
      <c r="AE155" s="1423"/>
      <c r="AK155" s="1448"/>
      <c r="AL155" s="1452"/>
      <c r="AM155" s="1453"/>
      <c r="AN155" s="1451"/>
      <c r="AO155" s="1451"/>
      <c r="AP155" s="1526"/>
      <c r="AQ155" s="1452"/>
      <c r="AR155" s="1453"/>
      <c r="AS155" s="1453"/>
      <c r="AT155" s="1453"/>
    </row>
    <row r="156" spans="1:46" ht="13.5" customHeight="1">
      <c r="A156" s="1499"/>
      <c r="B156" s="1499"/>
      <c r="K156" s="1468" t="s">
        <v>365</v>
      </c>
      <c r="L156" s="1499">
        <f>+L155+L149</f>
        <v>594238.44999999995</v>
      </c>
      <c r="M156" s="1499">
        <f>+M155+M149</f>
        <v>5427.6100000000006</v>
      </c>
      <c r="N156" s="1499">
        <f>+N155+N149</f>
        <v>332340.57</v>
      </c>
      <c r="O156" s="1499">
        <f>+O155+O149</f>
        <v>331549.67</v>
      </c>
      <c r="P156" s="1499"/>
      <c r="Q156" s="1499"/>
      <c r="R156" s="1499"/>
      <c r="V156" s="1368">
        <f>+V149+V155</f>
        <v>188862.34999999998</v>
      </c>
      <c r="W156" s="1368">
        <f>+W149+W155</f>
        <v>15718316.18</v>
      </c>
      <c r="X156" s="1368">
        <f>+X149+X155</f>
        <v>0</v>
      </c>
      <c r="Y156" s="1368">
        <f>+Y149+Y155</f>
        <v>3459510.71</v>
      </c>
      <c r="AB156" s="1422"/>
      <c r="AC156" s="1422"/>
      <c r="AK156" s="1448"/>
      <c r="AL156" s="1452"/>
      <c r="AM156" s="1453"/>
      <c r="AN156" s="1451"/>
      <c r="AO156" s="1451"/>
      <c r="AP156" s="1526"/>
      <c r="AQ156" s="1452"/>
      <c r="AR156" s="1453"/>
      <c r="AS156" s="1453"/>
      <c r="AT156" s="1453"/>
    </row>
    <row r="157" spans="1:46" ht="10.15" customHeight="1">
      <c r="B157" s="1415"/>
      <c r="C157" s="1416"/>
      <c r="D157" s="1416"/>
      <c r="E157" s="1416"/>
      <c r="F157" s="1416"/>
      <c r="G157" s="1416"/>
      <c r="H157" s="1416"/>
      <c r="I157" s="1416"/>
      <c r="J157" s="1416"/>
      <c r="K157" s="1499"/>
      <c r="L157" s="1499"/>
      <c r="M157" s="1499"/>
      <c r="N157" s="1431"/>
      <c r="O157" s="1499"/>
      <c r="R157" s="1431"/>
      <c r="S157" s="1366"/>
      <c r="AB157" s="1422"/>
      <c r="AC157" s="1422"/>
      <c r="AK157" s="1448"/>
      <c r="AL157" s="1452"/>
      <c r="AM157" s="1453"/>
      <c r="AN157" s="1451"/>
      <c r="AO157" s="1451"/>
      <c r="AP157" s="1526"/>
      <c r="AQ157" s="1452"/>
      <c r="AR157" s="1453"/>
      <c r="AS157" s="1453"/>
      <c r="AT157" s="1453"/>
    </row>
    <row r="158" spans="1:46" ht="10.15" customHeight="1">
      <c r="AB158" s="1422"/>
      <c r="AC158" s="1422"/>
      <c r="AK158" s="1448"/>
      <c r="AL158" s="1452"/>
      <c r="AM158" s="1453"/>
      <c r="AN158" s="1451"/>
      <c r="AO158" s="1451"/>
      <c r="AP158" s="1526"/>
      <c r="AQ158" s="1452"/>
      <c r="AR158" s="1453"/>
      <c r="AS158" s="1453"/>
      <c r="AT158" s="1453"/>
    </row>
    <row r="159" spans="1:46" ht="10.15" customHeight="1">
      <c r="AB159" s="1422"/>
      <c r="AC159" s="1422"/>
      <c r="AK159" s="1448"/>
      <c r="AL159" s="1452"/>
      <c r="AM159" s="1453"/>
      <c r="AN159" s="1451"/>
      <c r="AO159" s="1451"/>
      <c r="AP159" s="1526"/>
      <c r="AQ159" s="1452"/>
      <c r="AR159" s="1453"/>
      <c r="AS159" s="1453"/>
      <c r="AT159" s="1453"/>
    </row>
    <row r="160" spans="1:46" ht="10.15" customHeight="1">
      <c r="AB160" s="1422"/>
      <c r="AC160" s="1422"/>
      <c r="AK160" s="1448"/>
      <c r="AL160" s="1452"/>
      <c r="AM160" s="1453"/>
      <c r="AN160" s="1451"/>
      <c r="AO160" s="1451"/>
      <c r="AP160" s="1526"/>
      <c r="AQ160" s="1452"/>
      <c r="AR160" s="1453"/>
      <c r="AS160" s="1453"/>
      <c r="AT160" s="1453"/>
    </row>
    <row r="161" spans="1:46" ht="12" customHeight="1">
      <c r="A161" s="1971" t="s">
        <v>447</v>
      </c>
      <c r="B161" s="1972"/>
      <c r="C161" s="1972"/>
      <c r="D161" s="1972"/>
      <c r="E161" s="1972"/>
      <c r="F161" s="1972"/>
      <c r="G161" s="1972"/>
      <c r="H161" s="1972"/>
      <c r="I161" s="1972"/>
      <c r="J161" s="1972"/>
      <c r="K161" s="1972"/>
      <c r="L161" s="1972"/>
      <c r="M161" s="1972"/>
      <c r="N161" s="1972"/>
      <c r="O161" s="1973"/>
      <c r="P161" s="1417"/>
      <c r="Q161" s="1418"/>
      <c r="R161" s="1419"/>
      <c r="S161" s="1420"/>
      <c r="T161" s="1421"/>
      <c r="U161" s="1419"/>
      <c r="V161" s="1375"/>
      <c r="W161" s="1376"/>
      <c r="X161" s="1376"/>
      <c r="Y161" s="1377"/>
      <c r="AB161" s="1422"/>
      <c r="AC161" s="1422"/>
      <c r="AF161" s="1423">
        <f>SUM(AE164:AE191)</f>
        <v>507079.2900000001</v>
      </c>
      <c r="AG161" s="1423">
        <v>283232.43</v>
      </c>
      <c r="AK161" s="1448"/>
      <c r="AL161" s="1452"/>
      <c r="AM161" s="1453"/>
      <c r="AN161" s="1451"/>
      <c r="AO161" s="1451"/>
      <c r="AP161" s="1526"/>
      <c r="AQ161" s="1452"/>
      <c r="AR161" s="1453"/>
      <c r="AS161" s="1453"/>
      <c r="AT161" s="1453"/>
    </row>
    <row r="162" spans="1:46" ht="12.75" customHeight="1">
      <c r="A162" s="1527" t="s">
        <v>448</v>
      </c>
      <c r="B162" s="1425"/>
      <c r="C162" s="1528"/>
      <c r="D162" s="1426" t="s">
        <v>257</v>
      </c>
      <c r="E162" s="1427" t="s">
        <v>258</v>
      </c>
      <c r="F162" s="1427" t="s">
        <v>259</v>
      </c>
      <c r="G162" s="1427" t="s">
        <v>260</v>
      </c>
      <c r="H162" s="1427" t="s">
        <v>261</v>
      </c>
      <c r="I162" s="1427" t="s">
        <v>262</v>
      </c>
      <c r="J162" s="1427" t="s">
        <v>263</v>
      </c>
      <c r="K162" s="1974" t="s">
        <v>264</v>
      </c>
      <c r="L162" s="1975"/>
      <c r="M162" s="1975"/>
      <c r="N162" s="1975" t="s">
        <v>265</v>
      </c>
      <c r="O162" s="1976"/>
      <c r="P162" s="1475"/>
      <c r="Q162" s="1475"/>
      <c r="R162" s="1430" t="s">
        <v>367</v>
      </c>
      <c r="S162" s="1430" t="s">
        <v>267</v>
      </c>
      <c r="T162" s="1430"/>
      <c r="U162" s="1430"/>
      <c r="V162" s="1977" t="s">
        <v>268</v>
      </c>
      <c r="W162" s="1978"/>
      <c r="X162" s="1978"/>
      <c r="Y162" s="1979"/>
      <c r="AB162" s="1422"/>
      <c r="AC162" s="1422"/>
      <c r="AF162" s="1432">
        <v>1</v>
      </c>
      <c r="AK162" s="1448"/>
      <c r="AL162" s="1452"/>
      <c r="AM162" s="1453"/>
      <c r="AN162" s="1451"/>
      <c r="AO162" s="1451"/>
      <c r="AP162" s="1526"/>
      <c r="AQ162" s="1452"/>
      <c r="AR162" s="1453"/>
      <c r="AS162" s="1453"/>
      <c r="AT162" s="1453"/>
    </row>
    <row r="163" spans="1:46" ht="12.75" customHeight="1">
      <c r="A163" s="1470" t="s">
        <v>269</v>
      </c>
      <c r="B163" s="1471" t="s">
        <v>270</v>
      </c>
      <c r="C163" s="1470" t="s">
        <v>271</v>
      </c>
      <c r="D163" s="1436"/>
      <c r="E163" s="1436"/>
      <c r="F163" s="1436"/>
      <c r="G163" s="1436"/>
      <c r="H163" s="1436"/>
      <c r="I163" s="1436"/>
      <c r="J163" s="1436"/>
      <c r="K163" s="1436" t="s">
        <v>272</v>
      </c>
      <c r="L163" s="1496" t="s">
        <v>370</v>
      </c>
      <c r="M163" s="1471" t="s">
        <v>274</v>
      </c>
      <c r="N163" s="1471" t="s">
        <v>371</v>
      </c>
      <c r="O163" s="1471" t="s">
        <v>276</v>
      </c>
      <c r="P163" s="1437" t="s">
        <v>277</v>
      </c>
      <c r="Q163" s="1469" t="s">
        <v>278</v>
      </c>
      <c r="R163" s="1438" t="s">
        <v>279</v>
      </c>
      <c r="S163" s="1438" t="s">
        <v>280</v>
      </c>
      <c r="T163" s="1438" t="s">
        <v>281</v>
      </c>
      <c r="U163" s="1438" t="s">
        <v>282</v>
      </c>
      <c r="V163" s="1378" t="s">
        <v>283</v>
      </c>
      <c r="W163" s="1378" t="s">
        <v>284</v>
      </c>
      <c r="X163" s="1378" t="s">
        <v>285</v>
      </c>
      <c r="Y163" s="1378" t="s">
        <v>286</v>
      </c>
      <c r="AB163" s="1422"/>
      <c r="AC163" s="1422"/>
      <c r="AK163" s="1448"/>
      <c r="AL163" s="1452"/>
      <c r="AM163" s="1453"/>
      <c r="AN163" s="1451"/>
      <c r="AO163" s="1451"/>
      <c r="AP163" s="1526"/>
      <c r="AQ163" s="1452"/>
      <c r="AR163" s="1453"/>
      <c r="AS163" s="1453"/>
      <c r="AT163" s="1453"/>
    </row>
    <row r="164" spans="1:46" ht="12.75" customHeight="1">
      <c r="A164" s="1439">
        <v>2</v>
      </c>
      <c r="B164" s="1440" t="s">
        <v>449</v>
      </c>
      <c r="C164" s="1439" t="s">
        <v>450</v>
      </c>
      <c r="D164" s="1439"/>
      <c r="E164" s="1439"/>
      <c r="F164" s="1439"/>
      <c r="G164" s="1439"/>
      <c r="H164" s="1439"/>
      <c r="I164" s="1439"/>
      <c r="J164" s="1439"/>
      <c r="K164" s="1442" t="s">
        <v>451</v>
      </c>
      <c r="L164" s="1442"/>
      <c r="M164" s="1364">
        <v>5147.29</v>
      </c>
      <c r="N164" s="1442"/>
      <c r="O164" s="1386">
        <v>5147.29</v>
      </c>
      <c r="P164" s="1442">
        <v>1029458</v>
      </c>
      <c r="Q164" s="1442">
        <v>5147.29</v>
      </c>
      <c r="R164" s="1442">
        <f>+P164</f>
        <v>1029458</v>
      </c>
      <c r="S164" s="1444">
        <f>+P164/Q164</f>
        <v>200</v>
      </c>
      <c r="T164" s="1445" t="s">
        <v>291</v>
      </c>
      <c r="U164" s="1446">
        <v>38581</v>
      </c>
      <c r="V164" s="1358">
        <f>+R164+3804.37+2875.05</f>
        <v>1036137.42</v>
      </c>
      <c r="W164" s="1358"/>
      <c r="X164" s="1358"/>
      <c r="Y164" s="1358"/>
      <c r="Z164" s="1414" t="s">
        <v>292</v>
      </c>
      <c r="AA164" s="1414" t="s">
        <v>452</v>
      </c>
      <c r="AB164" s="1422"/>
      <c r="AC164" s="1422"/>
      <c r="AD164" s="1423"/>
      <c r="AE164" s="1423">
        <f>O164</f>
        <v>5147.29</v>
      </c>
      <c r="AF164" s="1519">
        <f>AE164/$AF$161</f>
        <v>1.0150858261239577E-2</v>
      </c>
      <c r="AG164" s="1423">
        <f>$AG$161*AF164</f>
        <v>2875.0522519164601</v>
      </c>
      <c r="AJ164" s="1423"/>
      <c r="AK164" s="1448" t="s">
        <v>6070</v>
      </c>
      <c r="AL164" s="1449" t="s">
        <v>5363</v>
      </c>
      <c r="AM164" s="1511" t="s">
        <v>5495</v>
      </c>
      <c r="AN164" s="1509" t="s">
        <v>451</v>
      </c>
      <c r="AO164" s="1509" t="s">
        <v>451</v>
      </c>
      <c r="AP164" s="1451" t="s">
        <v>5365</v>
      </c>
      <c r="AQ164" s="1452">
        <v>5147.29</v>
      </c>
      <c r="AR164" s="1453" t="s">
        <v>5496</v>
      </c>
      <c r="AS164" s="1453" t="s">
        <v>5497</v>
      </c>
      <c r="AT164" s="1453" t="s">
        <v>5381</v>
      </c>
    </row>
    <row r="165" spans="1:46" ht="12.75" customHeight="1">
      <c r="A165" s="1439">
        <v>3</v>
      </c>
      <c r="B165" s="1440">
        <v>1</v>
      </c>
      <c r="C165" s="1439" t="s">
        <v>385</v>
      </c>
      <c r="D165" s="1439"/>
      <c r="E165" s="1439"/>
      <c r="F165" s="1439"/>
      <c r="G165" s="1439"/>
      <c r="H165" s="1439"/>
      <c r="I165" s="1439"/>
      <c r="J165" s="1439"/>
      <c r="K165" s="1442" t="s">
        <v>451</v>
      </c>
      <c r="L165" s="1364">
        <v>9223.2800000000007</v>
      </c>
      <c r="M165" s="1439"/>
      <c r="N165" s="1364">
        <f>9223.28-2503.35</f>
        <v>6719.93</v>
      </c>
      <c r="O165" s="1517"/>
      <c r="P165" s="1442">
        <v>904455.93</v>
      </c>
      <c r="Q165" s="1442">
        <v>9243.2900000000009</v>
      </c>
      <c r="R165" s="1358">
        <f>+P165/Q165*L165</f>
        <v>902497.95149242319</v>
      </c>
      <c r="S165" s="1444">
        <f>+P165/Q165</f>
        <v>97.85000037865305</v>
      </c>
      <c r="T165" s="1445" t="s">
        <v>335</v>
      </c>
      <c r="U165" s="1446">
        <v>38412</v>
      </c>
      <c r="V165" s="1358"/>
      <c r="W165" s="1358"/>
      <c r="X165" s="1358"/>
      <c r="Y165" s="1358">
        <f>+R165-244952.8+4966.71+3753.46</f>
        <v>666265.32149242307</v>
      </c>
      <c r="Z165" s="1414" t="s">
        <v>292</v>
      </c>
      <c r="AA165" s="1414" t="s">
        <v>453</v>
      </c>
      <c r="AB165" s="1422" t="s">
        <v>454</v>
      </c>
      <c r="AC165" s="1422"/>
      <c r="AD165" s="1423"/>
      <c r="AE165" s="1423">
        <f>N165</f>
        <v>6719.93</v>
      </c>
      <c r="AF165" s="1519">
        <f t="shared" ref="AF165:AF190" si="30">AE165/$AF$161</f>
        <v>1.325222727987964E-2</v>
      </c>
      <c r="AG165" s="1423">
        <f t="shared" ref="AG165:AG191" si="31">$AG$161*AF165</f>
        <v>3753.4605353926004</v>
      </c>
      <c r="AJ165" s="1423"/>
      <c r="AK165" s="1448" t="s">
        <v>6071</v>
      </c>
      <c r="AL165" s="1449" t="s">
        <v>5446</v>
      </c>
      <c r="AM165" s="1511" t="s">
        <v>5463</v>
      </c>
      <c r="AN165" s="1452" t="s">
        <v>451</v>
      </c>
      <c r="AO165" s="1452" t="s">
        <v>451</v>
      </c>
      <c r="AP165" s="1451" t="s">
        <v>5393</v>
      </c>
      <c r="AQ165" s="1452">
        <v>6719.93</v>
      </c>
      <c r="AR165" s="1453" t="s">
        <v>5498</v>
      </c>
      <c r="AS165" s="1453" t="s">
        <v>5497</v>
      </c>
      <c r="AT165" s="1453" t="s">
        <v>5381</v>
      </c>
    </row>
    <row r="166" spans="1:46" ht="12.75" customHeight="1">
      <c r="A166" s="1439">
        <v>3</v>
      </c>
      <c r="B166" s="1440">
        <v>6</v>
      </c>
      <c r="C166" s="1439" t="s">
        <v>385</v>
      </c>
      <c r="D166" s="1439"/>
      <c r="E166" s="1439"/>
      <c r="F166" s="1439"/>
      <c r="G166" s="1439"/>
      <c r="H166" s="1439"/>
      <c r="I166" s="1439"/>
      <c r="J166" s="1439"/>
      <c r="K166" s="1442" t="s">
        <v>451</v>
      </c>
      <c r="L166" s="1442">
        <v>9265</v>
      </c>
      <c r="M166" s="1364"/>
      <c r="N166" s="1442">
        <v>9265</v>
      </c>
      <c r="O166" s="1517"/>
      <c r="P166" s="1442">
        <v>880175</v>
      </c>
      <c r="Q166" s="1442">
        <f>+L166</f>
        <v>9265</v>
      </c>
      <c r="R166" s="1358">
        <f>+P166</f>
        <v>880175</v>
      </c>
      <c r="S166" s="1444">
        <f>+P166/Q166</f>
        <v>95</v>
      </c>
      <c r="T166" s="1445" t="s">
        <v>335</v>
      </c>
      <c r="U166" s="1446">
        <v>38412</v>
      </c>
      <c r="V166" s="1358"/>
      <c r="W166" s="1358"/>
      <c r="X166" s="1358"/>
      <c r="Y166" s="1358">
        <f>+R166+6847.77+5175.03</f>
        <v>892197.8</v>
      </c>
      <c r="Z166" s="1414" t="s">
        <v>292</v>
      </c>
      <c r="AA166" s="1414" t="s">
        <v>453</v>
      </c>
      <c r="AB166" s="1422"/>
      <c r="AC166" s="1422"/>
      <c r="AD166" s="1423"/>
      <c r="AE166" s="1423">
        <f>N166</f>
        <v>9265</v>
      </c>
      <c r="AF166" s="1519">
        <f t="shared" si="30"/>
        <v>1.8271304276694083E-2</v>
      </c>
      <c r="AG166" s="1423">
        <f t="shared" si="31"/>
        <v>5175.0259095574575</v>
      </c>
      <c r="AJ166" s="1423"/>
      <c r="AK166" s="1448" t="s">
        <v>6072</v>
      </c>
      <c r="AL166" s="1449" t="s">
        <v>5446</v>
      </c>
      <c r="AM166" s="1511" t="s">
        <v>5449</v>
      </c>
      <c r="AN166" s="1452" t="s">
        <v>451</v>
      </c>
      <c r="AO166" s="1452" t="s">
        <v>451</v>
      </c>
      <c r="AP166" s="1451" t="s">
        <v>5393</v>
      </c>
      <c r="AQ166" s="1452">
        <v>9265</v>
      </c>
      <c r="AR166" s="1453" t="s">
        <v>5498</v>
      </c>
      <c r="AS166" s="1453" t="s">
        <v>5497</v>
      </c>
      <c r="AT166" s="1453" t="s">
        <v>5381</v>
      </c>
    </row>
    <row r="167" spans="1:46" ht="12.75" customHeight="1">
      <c r="A167" s="1439">
        <v>3</v>
      </c>
      <c r="B167" s="1440">
        <v>7</v>
      </c>
      <c r="C167" s="1439" t="s">
        <v>385</v>
      </c>
      <c r="D167" s="1439"/>
      <c r="E167" s="1439"/>
      <c r="F167" s="1439"/>
      <c r="G167" s="1439"/>
      <c r="H167" s="1439"/>
      <c r="I167" s="1439"/>
      <c r="J167" s="1439"/>
      <c r="K167" s="1442" t="s">
        <v>451</v>
      </c>
      <c r="L167" s="1442">
        <v>9265</v>
      </c>
      <c r="M167" s="1364"/>
      <c r="N167" s="1442">
        <v>9265</v>
      </c>
      <c r="O167" s="1517"/>
      <c r="P167" s="1442">
        <v>880175</v>
      </c>
      <c r="Q167" s="1442">
        <f>+L167</f>
        <v>9265</v>
      </c>
      <c r="R167" s="1358">
        <f>+P167</f>
        <v>880175</v>
      </c>
      <c r="S167" s="1444">
        <f t="shared" ref="S167:S191" si="32">+P167/Q167</f>
        <v>95</v>
      </c>
      <c r="T167" s="1445" t="s">
        <v>335</v>
      </c>
      <c r="U167" s="1446">
        <v>38412</v>
      </c>
      <c r="V167" s="1358"/>
      <c r="W167" s="1358"/>
      <c r="X167" s="1358"/>
      <c r="Y167" s="1358">
        <f>+R167+6847.77+5175.03</f>
        <v>892197.8</v>
      </c>
      <c r="Z167" s="1414" t="s">
        <v>292</v>
      </c>
      <c r="AA167" s="1414" t="s">
        <v>453</v>
      </c>
      <c r="AB167" s="1422"/>
      <c r="AC167" s="1422"/>
      <c r="AD167" s="1423"/>
      <c r="AE167" s="1423">
        <f>N167</f>
        <v>9265</v>
      </c>
      <c r="AF167" s="1519">
        <f t="shared" si="30"/>
        <v>1.8271304276694083E-2</v>
      </c>
      <c r="AG167" s="1423">
        <f t="shared" si="31"/>
        <v>5175.0259095574575</v>
      </c>
      <c r="AJ167" s="1423"/>
      <c r="AK167" s="1448" t="s">
        <v>6073</v>
      </c>
      <c r="AL167" s="1449" t="s">
        <v>5446</v>
      </c>
      <c r="AM167" s="1511" t="s">
        <v>5444</v>
      </c>
      <c r="AN167" s="1452" t="s">
        <v>451</v>
      </c>
      <c r="AO167" s="1452" t="s">
        <v>451</v>
      </c>
      <c r="AP167" s="1451" t="s">
        <v>5393</v>
      </c>
      <c r="AQ167" s="1452">
        <v>9265</v>
      </c>
      <c r="AR167" s="1453" t="s">
        <v>5498</v>
      </c>
      <c r="AS167" s="1453" t="s">
        <v>5497</v>
      </c>
      <c r="AT167" s="1453" t="s">
        <v>5381</v>
      </c>
    </row>
    <row r="168" spans="1:46" ht="12.75" customHeight="1">
      <c r="A168" s="1439">
        <v>3</v>
      </c>
      <c r="B168" s="1440">
        <v>8</v>
      </c>
      <c r="C168" s="1439" t="s">
        <v>385</v>
      </c>
      <c r="D168" s="1439"/>
      <c r="E168" s="1439"/>
      <c r="F168" s="1439"/>
      <c r="G168" s="1439"/>
      <c r="H168" s="1439"/>
      <c r="I168" s="1439"/>
      <c r="J168" s="1439"/>
      <c r="K168" s="1442" t="s">
        <v>451</v>
      </c>
      <c r="L168" s="1442">
        <v>9265</v>
      </c>
      <c r="M168" s="1364"/>
      <c r="N168" s="1442"/>
      <c r="O168" s="1517">
        <v>9265</v>
      </c>
      <c r="P168" s="1442">
        <v>660131.25</v>
      </c>
      <c r="Q168" s="1442">
        <f>+L168</f>
        <v>9265</v>
      </c>
      <c r="R168" s="1358">
        <f>+P168</f>
        <v>660131.25</v>
      </c>
      <c r="S168" s="1444">
        <f t="shared" si="32"/>
        <v>71.25</v>
      </c>
      <c r="T168" s="1445" t="s">
        <v>335</v>
      </c>
      <c r="U168" s="1446">
        <v>38412</v>
      </c>
      <c r="V168" s="1358"/>
      <c r="W168" s="1358">
        <f>+R168+6847.77+5175.03</f>
        <v>672154.05</v>
      </c>
      <c r="X168" s="1358"/>
      <c r="Y168" s="1358"/>
      <c r="Z168" s="1414" t="s">
        <v>292</v>
      </c>
      <c r="AA168" s="1414" t="s">
        <v>453</v>
      </c>
      <c r="AB168" s="1422"/>
      <c r="AC168" s="1422"/>
      <c r="AD168" s="1423"/>
      <c r="AE168" s="1423">
        <f>O168</f>
        <v>9265</v>
      </c>
      <c r="AF168" s="1519">
        <f t="shared" si="30"/>
        <v>1.8271304276694083E-2</v>
      </c>
      <c r="AG168" s="1423">
        <f t="shared" si="31"/>
        <v>5175.0259095574575</v>
      </c>
      <c r="AJ168" s="1423"/>
      <c r="AK168" s="1448" t="s">
        <v>6074</v>
      </c>
      <c r="AL168" s="1449" t="s">
        <v>5446</v>
      </c>
      <c r="AM168" s="1511" t="s">
        <v>5450</v>
      </c>
      <c r="AN168" s="1452" t="s">
        <v>451</v>
      </c>
      <c r="AO168" s="1452" t="s">
        <v>451</v>
      </c>
      <c r="AP168" s="1451" t="s">
        <v>5393</v>
      </c>
      <c r="AQ168" s="1452">
        <v>9265</v>
      </c>
      <c r="AR168" s="1453" t="s">
        <v>5498</v>
      </c>
      <c r="AS168" s="1453" t="s">
        <v>5497</v>
      </c>
      <c r="AT168" s="1453" t="s">
        <v>5381</v>
      </c>
    </row>
    <row r="169" spans="1:46" ht="12.75" customHeight="1">
      <c r="A169" s="1439">
        <v>3</v>
      </c>
      <c r="B169" s="1440">
        <v>9</v>
      </c>
      <c r="C169" s="1439" t="s">
        <v>385</v>
      </c>
      <c r="D169" s="1439"/>
      <c r="E169" s="1439"/>
      <c r="F169" s="1439"/>
      <c r="G169" s="1439"/>
      <c r="H169" s="1439"/>
      <c r="I169" s="1439"/>
      <c r="J169" s="1439"/>
      <c r="K169" s="1442" t="s">
        <v>451</v>
      </c>
      <c r="L169" s="1442">
        <v>9179.16</v>
      </c>
      <c r="M169" s="1364"/>
      <c r="N169" s="1423"/>
      <c r="O169" s="1517">
        <v>9179.16</v>
      </c>
      <c r="P169" s="1442">
        <v>660390.63</v>
      </c>
      <c r="Q169" s="1442">
        <v>8998.68</v>
      </c>
      <c r="R169" s="1358">
        <f t="shared" ref="R169:R191" si="33">+P169/Q169*L169</f>
        <v>673635.60603008443</v>
      </c>
      <c r="S169" s="1444">
        <f t="shared" si="32"/>
        <v>73.387500166691112</v>
      </c>
      <c r="T169" s="1445" t="s">
        <v>335</v>
      </c>
      <c r="U169" s="1446">
        <v>38412</v>
      </c>
      <c r="V169" s="1358"/>
      <c r="W169" s="1358">
        <f>+R169+6784.32+5127.08</f>
        <v>685547.00603008433</v>
      </c>
      <c r="X169" s="1358"/>
      <c r="Y169" s="1358"/>
      <c r="Z169" s="1414" t="s">
        <v>292</v>
      </c>
      <c r="AA169" s="1414" t="s">
        <v>453</v>
      </c>
      <c r="AB169" s="1422"/>
      <c r="AC169" s="1422"/>
      <c r="AD169" s="1423"/>
      <c r="AE169" s="1423">
        <f>O169</f>
        <v>9179.16</v>
      </c>
      <c r="AF169" s="1519">
        <f t="shared" si="30"/>
        <v>1.8102021086288098E-2</v>
      </c>
      <c r="AG169" s="1423">
        <f t="shared" si="31"/>
        <v>5127.0794201806175</v>
      </c>
      <c r="AJ169" s="1423"/>
      <c r="AK169" s="1448" t="s">
        <v>6075</v>
      </c>
      <c r="AL169" s="1449" t="s">
        <v>5446</v>
      </c>
      <c r="AM169" s="1511" t="s">
        <v>5451</v>
      </c>
      <c r="AN169" s="1452" t="s">
        <v>451</v>
      </c>
      <c r="AO169" s="1452" t="s">
        <v>451</v>
      </c>
      <c r="AP169" s="1451" t="s">
        <v>5393</v>
      </c>
      <c r="AQ169" s="1452">
        <v>9179.16</v>
      </c>
      <c r="AR169" s="1453" t="s">
        <v>5498</v>
      </c>
      <c r="AS169" s="1453" t="s">
        <v>5497</v>
      </c>
      <c r="AT169" s="1453" t="s">
        <v>5381</v>
      </c>
    </row>
    <row r="170" spans="1:46" ht="12.75" customHeight="1">
      <c r="A170" s="1439">
        <v>4</v>
      </c>
      <c r="B170" s="1440">
        <v>3</v>
      </c>
      <c r="C170" s="1439" t="s">
        <v>385</v>
      </c>
      <c r="D170" s="1439"/>
      <c r="E170" s="1439"/>
      <c r="F170" s="1439"/>
      <c r="G170" s="1439"/>
      <c r="H170" s="1439"/>
      <c r="I170" s="1439"/>
      <c r="J170" s="1439"/>
      <c r="K170" s="1442" t="s">
        <v>451</v>
      </c>
      <c r="L170" s="1442">
        <v>17746.759999999998</v>
      </c>
      <c r="M170" s="1364"/>
      <c r="N170" s="1442"/>
      <c r="O170" s="1517">
        <v>17746.759999999998</v>
      </c>
      <c r="P170" s="1442">
        <v>993866.5</v>
      </c>
      <c r="Q170" s="1442">
        <v>18724.5</v>
      </c>
      <c r="R170" s="1358">
        <f t="shared" si="33"/>
        <v>941969.62522577366</v>
      </c>
      <c r="S170" s="1444">
        <f t="shared" si="32"/>
        <v>53.078399957275231</v>
      </c>
      <c r="T170" s="1445" t="s">
        <v>335</v>
      </c>
      <c r="U170" s="1446">
        <v>38412</v>
      </c>
      <c r="V170" s="1358"/>
      <c r="W170" s="1358">
        <f>+R170+13116.64+9912.57</f>
        <v>964998.83522577363</v>
      </c>
      <c r="X170" s="1358"/>
      <c r="Y170" s="1358"/>
      <c r="Z170" s="1414" t="s">
        <v>292</v>
      </c>
      <c r="AA170" s="1414" t="s">
        <v>453</v>
      </c>
      <c r="AB170" s="1422"/>
      <c r="AC170" s="1422"/>
      <c r="AD170" s="1423"/>
      <c r="AE170" s="1423">
        <f>O170</f>
        <v>17746.759999999998</v>
      </c>
      <c r="AF170" s="1519">
        <f t="shared" si="30"/>
        <v>3.499799804484225E-2</v>
      </c>
      <c r="AG170" s="1423">
        <f t="shared" si="31"/>
        <v>9912.5680313759185</v>
      </c>
      <c r="AJ170" s="1423"/>
      <c r="AK170" s="1448" t="s">
        <v>6076</v>
      </c>
      <c r="AL170" s="1449" t="s">
        <v>5417</v>
      </c>
      <c r="AM170" s="1511" t="s">
        <v>5418</v>
      </c>
      <c r="AN170" s="1452" t="s">
        <v>451</v>
      </c>
      <c r="AO170" s="1452" t="s">
        <v>451</v>
      </c>
      <c r="AP170" s="1451" t="s">
        <v>5393</v>
      </c>
      <c r="AQ170" s="1452">
        <v>17746.759999999998</v>
      </c>
      <c r="AR170" s="1453" t="s">
        <v>5499</v>
      </c>
      <c r="AS170" s="1453" t="s">
        <v>5497</v>
      </c>
      <c r="AT170" s="1453" t="s">
        <v>5381</v>
      </c>
    </row>
    <row r="171" spans="1:46" ht="12.75" customHeight="1">
      <c r="A171" s="1439">
        <v>4</v>
      </c>
      <c r="B171" s="1440">
        <v>4</v>
      </c>
      <c r="C171" s="1439" t="s">
        <v>385</v>
      </c>
      <c r="D171" s="1439"/>
      <c r="E171" s="1439"/>
      <c r="F171" s="1439"/>
      <c r="G171" s="1439"/>
      <c r="H171" s="1439"/>
      <c r="I171" s="1439"/>
      <c r="J171" s="1439"/>
      <c r="K171" s="1442" t="s">
        <v>451</v>
      </c>
      <c r="L171" s="1442">
        <v>17877.490000000002</v>
      </c>
      <c r="M171" s="1364"/>
      <c r="N171" s="1442"/>
      <c r="O171" s="1517">
        <v>17877.490000000002</v>
      </c>
      <c r="P171" s="1442">
        <v>993866.5</v>
      </c>
      <c r="Q171" s="1442">
        <v>18724.5</v>
      </c>
      <c r="R171" s="1358">
        <f t="shared" si="33"/>
        <v>948908.56445218844</v>
      </c>
      <c r="S171" s="1444">
        <f t="shared" si="32"/>
        <v>53.078399957275231</v>
      </c>
      <c r="T171" s="1445" t="s">
        <v>335</v>
      </c>
      <c r="U171" s="1446">
        <v>38412</v>
      </c>
      <c r="V171" s="1358"/>
      <c r="W171" s="1358">
        <f>+R171+13213.27+9985.59</f>
        <v>972107.42445218842</v>
      </c>
      <c r="X171" s="1358"/>
      <c r="Y171" s="1358"/>
      <c r="Z171" s="1414" t="s">
        <v>292</v>
      </c>
      <c r="AA171" s="1414" t="s">
        <v>453</v>
      </c>
      <c r="AB171" s="1422"/>
      <c r="AC171" s="1422"/>
      <c r="AD171" s="1423"/>
      <c r="AE171" s="1423">
        <f>O171</f>
        <v>17877.490000000002</v>
      </c>
      <c r="AF171" s="1519">
        <f t="shared" si="30"/>
        <v>3.5255807824452853E-2</v>
      </c>
      <c r="AG171" s="1423">
        <f t="shared" si="31"/>
        <v>9985.5881217327951</v>
      </c>
      <c r="AJ171" s="1423"/>
      <c r="AK171" s="1448" t="s">
        <v>6077</v>
      </c>
      <c r="AL171" s="1449" t="s">
        <v>5417</v>
      </c>
      <c r="AM171" s="1511" t="s">
        <v>5457</v>
      </c>
      <c r="AN171" s="1452" t="s">
        <v>451</v>
      </c>
      <c r="AO171" s="1452" t="s">
        <v>451</v>
      </c>
      <c r="AP171" s="1451" t="s">
        <v>5393</v>
      </c>
      <c r="AQ171" s="1452">
        <v>17877.490000000002</v>
      </c>
      <c r="AR171" s="1453" t="s">
        <v>5499</v>
      </c>
      <c r="AS171" s="1453" t="s">
        <v>5497</v>
      </c>
      <c r="AT171" s="1453" t="s">
        <v>5381</v>
      </c>
    </row>
    <row r="172" spans="1:46" ht="12.75" customHeight="1">
      <c r="A172" s="1439">
        <v>4</v>
      </c>
      <c r="B172" s="1440">
        <v>5</v>
      </c>
      <c r="C172" s="1439" t="s">
        <v>385</v>
      </c>
      <c r="D172" s="1439"/>
      <c r="E172" s="1439"/>
      <c r="F172" s="1439"/>
      <c r="G172" s="1439"/>
      <c r="H172" s="1439"/>
      <c r="I172" s="1439"/>
      <c r="J172" s="1439"/>
      <c r="K172" s="1442" t="s">
        <v>451</v>
      </c>
      <c r="L172" s="1442">
        <v>17691.8</v>
      </c>
      <c r="M172" s="1364"/>
      <c r="N172" s="1442">
        <v>17691.8</v>
      </c>
      <c r="O172" s="1517"/>
      <c r="P172" s="1442">
        <v>1634036.78</v>
      </c>
      <c r="Q172" s="1442">
        <v>17917.07</v>
      </c>
      <c r="R172" s="1358">
        <f t="shared" si="33"/>
        <v>1613492.1560502916</v>
      </c>
      <c r="S172" s="1444">
        <f t="shared" si="32"/>
        <v>91.199999776749209</v>
      </c>
      <c r="T172" s="1445" t="s">
        <v>335</v>
      </c>
      <c r="U172" s="1446">
        <v>38412</v>
      </c>
      <c r="V172" s="1358"/>
      <c r="W172" s="1358"/>
      <c r="X172" s="1358"/>
      <c r="Y172" s="1358">
        <f>+R172+13076.02+9881.87</f>
        <v>1636450.0460502917</v>
      </c>
      <c r="Z172" s="1414" t="s">
        <v>292</v>
      </c>
      <c r="AA172" s="1414" t="s">
        <v>453</v>
      </c>
      <c r="AB172" s="1422"/>
      <c r="AC172" s="1422"/>
      <c r="AD172" s="1423"/>
      <c r="AE172" s="1423">
        <f>N172</f>
        <v>17691.8</v>
      </c>
      <c r="AF172" s="1519">
        <f t="shared" si="30"/>
        <v>3.4889612628431335E-2</v>
      </c>
      <c r="AG172" s="1423">
        <f t="shared" si="31"/>
        <v>9881.8697665092932</v>
      </c>
      <c r="AJ172" s="1423"/>
      <c r="AK172" s="1448" t="s">
        <v>6078</v>
      </c>
      <c r="AL172" s="1449" t="s">
        <v>5417</v>
      </c>
      <c r="AM172" s="1511" t="s">
        <v>5447</v>
      </c>
      <c r="AN172" s="1452" t="s">
        <v>451</v>
      </c>
      <c r="AO172" s="1452" t="s">
        <v>451</v>
      </c>
      <c r="AP172" s="1451" t="s">
        <v>5393</v>
      </c>
      <c r="AQ172" s="1452">
        <v>17691.8</v>
      </c>
      <c r="AR172" s="1453" t="s">
        <v>5499</v>
      </c>
      <c r="AS172" s="1453" t="s">
        <v>5497</v>
      </c>
      <c r="AT172" s="1453" t="s">
        <v>5381</v>
      </c>
    </row>
    <row r="173" spans="1:46" ht="12.75" customHeight="1">
      <c r="A173" s="1439">
        <v>4</v>
      </c>
      <c r="B173" s="1497" t="s">
        <v>407</v>
      </c>
      <c r="C173" s="1439" t="s">
        <v>385</v>
      </c>
      <c r="D173" s="1439"/>
      <c r="E173" s="1439"/>
      <c r="F173" s="1439"/>
      <c r="G173" s="1439"/>
      <c r="H173" s="1439"/>
      <c r="I173" s="1439"/>
      <c r="J173" s="1439"/>
      <c r="K173" s="1442" t="s">
        <v>451</v>
      </c>
      <c r="L173" s="1442">
        <v>12043.25</v>
      </c>
      <c r="M173" s="1364"/>
      <c r="N173" s="1439"/>
      <c r="O173" s="1517">
        <v>12043.25</v>
      </c>
      <c r="P173" s="1442">
        <f>1071637.06/24000.66*L173</f>
        <v>537734.921574865</v>
      </c>
      <c r="Q173" s="1442">
        <f>+L173</f>
        <v>12043.25</v>
      </c>
      <c r="R173" s="1358">
        <f>+P173</f>
        <v>537734.921574865</v>
      </c>
      <c r="S173" s="1444">
        <f t="shared" si="32"/>
        <v>44.65031628296888</v>
      </c>
      <c r="T173" s="1445" t="s">
        <v>335</v>
      </c>
      <c r="U173" s="1446">
        <v>38412</v>
      </c>
      <c r="V173" s="1358"/>
      <c r="W173" s="1358">
        <f>+R173+8901.18+6726.84</f>
        <v>553362.94157486502</v>
      </c>
      <c r="X173" s="1358"/>
      <c r="Y173" s="1358"/>
      <c r="Z173" s="1414" t="s">
        <v>292</v>
      </c>
      <c r="AA173" s="1414" t="s">
        <v>453</v>
      </c>
      <c r="AB173" s="1422"/>
      <c r="AC173" s="1422"/>
      <c r="AD173" s="1423"/>
      <c r="AE173" s="1423">
        <f>O173</f>
        <v>12043.25</v>
      </c>
      <c r="AF173" s="1519">
        <f t="shared" si="30"/>
        <v>2.3750230461985537E-2</v>
      </c>
      <c r="AG173" s="1423">
        <f t="shared" si="31"/>
        <v>6726.835486808186</v>
      </c>
      <c r="AJ173" s="1423"/>
      <c r="AK173" s="1448" t="s">
        <v>6079</v>
      </c>
      <c r="AL173" s="1449" t="s">
        <v>5417</v>
      </c>
      <c r="AM173" s="1511" t="s">
        <v>5443</v>
      </c>
      <c r="AN173" s="1452" t="s">
        <v>451</v>
      </c>
      <c r="AO173" s="1452" t="s">
        <v>451</v>
      </c>
      <c r="AP173" s="1451" t="s">
        <v>5393</v>
      </c>
      <c r="AQ173" s="1452">
        <v>12043.25</v>
      </c>
      <c r="AR173" s="1453" t="s">
        <v>5499</v>
      </c>
      <c r="AS173" s="1453" t="s">
        <v>5497</v>
      </c>
      <c r="AT173" s="1453" t="s">
        <v>5381</v>
      </c>
    </row>
    <row r="174" spans="1:46" ht="12.75" customHeight="1">
      <c r="A174" s="1439">
        <v>4</v>
      </c>
      <c r="B174" s="1440" t="s">
        <v>455</v>
      </c>
      <c r="C174" s="1439" t="s">
        <v>385</v>
      </c>
      <c r="D174" s="1439"/>
      <c r="E174" s="1439"/>
      <c r="F174" s="1439"/>
      <c r="G174" s="1439"/>
      <c r="H174" s="1439"/>
      <c r="I174" s="1439"/>
      <c r="J174" s="1439"/>
      <c r="K174" s="1442" t="s">
        <v>451</v>
      </c>
      <c r="L174" s="1442">
        <v>11957.41</v>
      </c>
      <c r="M174" s="1364"/>
      <c r="N174" s="1442"/>
      <c r="O174" s="1517">
        <v>11957.41</v>
      </c>
      <c r="P174" s="1442">
        <f>1071637.06/24000.66*L174</f>
        <v>533902.13842513505</v>
      </c>
      <c r="Q174" s="1442">
        <f>+L174</f>
        <v>11957.41</v>
      </c>
      <c r="R174" s="1358">
        <f>+P174</f>
        <v>533902.13842513505</v>
      </c>
      <c r="S174" s="1444">
        <f t="shared" si="32"/>
        <v>44.650316282968895</v>
      </c>
      <c r="T174" s="1445" t="s">
        <v>335</v>
      </c>
      <c r="U174" s="1446">
        <v>38412</v>
      </c>
      <c r="V174" s="1358"/>
      <c r="W174" s="1358">
        <f>+R174+8837.73+6678.89</f>
        <v>549418.75842513505</v>
      </c>
      <c r="X174" s="1358"/>
      <c r="Y174" s="1358"/>
      <c r="Z174" s="1414" t="s">
        <v>292</v>
      </c>
      <c r="AA174" s="1414" t="s">
        <v>453</v>
      </c>
      <c r="AB174" s="1422"/>
      <c r="AC174" s="1422"/>
      <c r="AD174" s="1423"/>
      <c r="AE174" s="1423">
        <f t="shared" ref="AE174:AE191" si="34">O174</f>
        <v>11957.41</v>
      </c>
      <c r="AF174" s="1519">
        <f>AE174/$AF$161</f>
        <v>2.3580947271579555E-2</v>
      </c>
      <c r="AG174" s="1423">
        <f t="shared" si="31"/>
        <v>6678.888997431347</v>
      </c>
      <c r="AJ174" s="1423"/>
      <c r="AK174" s="1448" t="s">
        <v>6080</v>
      </c>
      <c r="AL174" s="1449" t="s">
        <v>5417</v>
      </c>
      <c r="AM174" s="1511" t="s">
        <v>5500</v>
      </c>
      <c r="AN174" s="1452" t="s">
        <v>451</v>
      </c>
      <c r="AO174" s="1452" t="s">
        <v>451</v>
      </c>
      <c r="AP174" s="1451" t="s">
        <v>5393</v>
      </c>
      <c r="AQ174" s="1452">
        <v>11957.41</v>
      </c>
      <c r="AR174" s="1453" t="s">
        <v>5499</v>
      </c>
      <c r="AS174" s="1453" t="s">
        <v>5497</v>
      </c>
      <c r="AT174" s="1453" t="s">
        <v>5381</v>
      </c>
    </row>
    <row r="175" spans="1:46" ht="12.75" customHeight="1">
      <c r="A175" s="1439">
        <v>5</v>
      </c>
      <c r="B175" s="1440" t="s">
        <v>456</v>
      </c>
      <c r="C175" s="1439" t="s">
        <v>457</v>
      </c>
      <c r="D175" s="1439"/>
      <c r="E175" s="1439"/>
      <c r="F175" s="1439"/>
      <c r="G175" s="1439"/>
      <c r="H175" s="1439"/>
      <c r="I175" s="1439"/>
      <c r="J175" s="1439"/>
      <c r="K175" s="1442" t="s">
        <v>451</v>
      </c>
      <c r="L175" s="1442">
        <v>68755.289999999994</v>
      </c>
      <c r="M175" s="1364"/>
      <c r="N175" s="1442"/>
      <c r="O175" s="1517">
        <v>68755.289999999994</v>
      </c>
      <c r="P175" s="1442">
        <f>443365.76+480784.15+480784.15+400653.46+400653.46+400653.46+400653.46+459020.53</f>
        <v>3466568.4299999997</v>
      </c>
      <c r="Q175" s="1442">
        <f>7625.83+8695.68+8695.68+8695.68+8695.68+8695.68+8695.68+9663.59</f>
        <v>69463.5</v>
      </c>
      <c r="R175" s="1358">
        <f t="shared" si="33"/>
        <v>3431225.2867980259</v>
      </c>
      <c r="S175" s="1444">
        <f t="shared" si="32"/>
        <v>49.904891489775203</v>
      </c>
      <c r="T175" s="1445" t="s">
        <v>335</v>
      </c>
      <c r="U175" s="1446">
        <v>38412</v>
      </c>
      <c r="V175" s="1358"/>
      <c r="W175" s="1358">
        <f>+R175+50817.09+38403.7</f>
        <v>3520446.076798026</v>
      </c>
      <c r="X175" s="1358"/>
      <c r="Y175" s="1358"/>
      <c r="Z175" s="1414" t="s">
        <v>292</v>
      </c>
      <c r="AA175" s="1414" t="s">
        <v>453</v>
      </c>
      <c r="AB175" s="1422"/>
      <c r="AC175" s="1422"/>
      <c r="AD175" s="1423"/>
      <c r="AE175" s="1423">
        <f t="shared" si="34"/>
        <v>68755.289999999994</v>
      </c>
      <c r="AF175" s="1519">
        <f t="shared" si="30"/>
        <v>0.13559080671584908</v>
      </c>
      <c r="AG175" s="1423">
        <f t="shared" si="31"/>
        <v>38403.713671790254</v>
      </c>
      <c r="AH175" s="1423"/>
      <c r="AJ175" s="1423"/>
      <c r="AK175" s="1448" t="s">
        <v>6081</v>
      </c>
      <c r="AL175" s="1449" t="s">
        <v>5475</v>
      </c>
      <c r="AM175" s="1511" t="s">
        <v>5501</v>
      </c>
      <c r="AN175" s="1452" t="s">
        <v>451</v>
      </c>
      <c r="AO175" s="1452" t="s">
        <v>451</v>
      </c>
      <c r="AP175" s="1451" t="s">
        <v>5393</v>
      </c>
      <c r="AQ175" s="1452">
        <v>68755.289999999994</v>
      </c>
      <c r="AR175" s="1453" t="s">
        <v>5502</v>
      </c>
      <c r="AS175" s="1453" t="s">
        <v>5497</v>
      </c>
      <c r="AT175" s="1453" t="s">
        <v>5381</v>
      </c>
    </row>
    <row r="176" spans="1:46" ht="12.75" customHeight="1">
      <c r="A176" s="1439">
        <v>6</v>
      </c>
      <c r="B176" s="1440">
        <v>1</v>
      </c>
      <c r="C176" s="1439" t="s">
        <v>385</v>
      </c>
      <c r="D176" s="1439"/>
      <c r="E176" s="1439"/>
      <c r="F176" s="1439"/>
      <c r="G176" s="1439"/>
      <c r="H176" s="1439"/>
      <c r="I176" s="1439"/>
      <c r="J176" s="1439"/>
      <c r="K176" s="1442" t="s">
        <v>451</v>
      </c>
      <c r="L176" s="1442">
        <v>11895.72</v>
      </c>
      <c r="M176" s="1364"/>
      <c r="N176" s="1442"/>
      <c r="O176" s="1517">
        <v>11895.72</v>
      </c>
      <c r="P176" s="1442">
        <v>797859.36</v>
      </c>
      <c r="Q176" s="1442">
        <v>10871.87</v>
      </c>
      <c r="R176" s="1358">
        <f t="shared" si="33"/>
        <v>872997.15191031515</v>
      </c>
      <c r="S176" s="1444">
        <f t="shared" si="32"/>
        <v>73.387500034492675</v>
      </c>
      <c r="T176" s="1445" t="s">
        <v>335</v>
      </c>
      <c r="U176" s="1446">
        <v>38412</v>
      </c>
      <c r="V176" s="1358"/>
      <c r="W176" s="1358">
        <f>+R176+8792.14+6644.43</f>
        <v>888433.72191031522</v>
      </c>
      <c r="X176" s="1358"/>
      <c r="Y176" s="1358"/>
      <c r="Z176" s="1414" t="s">
        <v>292</v>
      </c>
      <c r="AA176" s="1414" t="s">
        <v>453</v>
      </c>
      <c r="AB176" s="1422"/>
      <c r="AC176" s="1422"/>
      <c r="AD176" s="1423"/>
      <c r="AE176" s="1423">
        <f t="shared" si="34"/>
        <v>11895.72</v>
      </c>
      <c r="AF176" s="1519">
        <f t="shared" si="30"/>
        <v>2.3459289769061555E-2</v>
      </c>
      <c r="AG176" s="1423">
        <f t="shared" si="31"/>
        <v>6644.4316473654426</v>
      </c>
      <c r="AJ176" s="1423"/>
      <c r="AK176" s="1448" t="s">
        <v>6082</v>
      </c>
      <c r="AL176" s="1449" t="s">
        <v>5454</v>
      </c>
      <c r="AM176" s="1511" t="s">
        <v>5463</v>
      </c>
      <c r="AN176" s="1452" t="s">
        <v>451</v>
      </c>
      <c r="AO176" s="1452" t="s">
        <v>451</v>
      </c>
      <c r="AP176" s="1451" t="s">
        <v>5393</v>
      </c>
      <c r="AQ176" s="1452">
        <v>11895.72</v>
      </c>
      <c r="AR176" s="1453" t="s">
        <v>5503</v>
      </c>
      <c r="AS176" s="1453" t="s">
        <v>5497</v>
      </c>
      <c r="AT176" s="1449" t="s">
        <v>5381</v>
      </c>
    </row>
    <row r="177" spans="1:46" ht="12.75" customHeight="1">
      <c r="A177" s="1439">
        <v>6</v>
      </c>
      <c r="B177" s="1440">
        <v>2</v>
      </c>
      <c r="C177" s="1439" t="s">
        <v>385</v>
      </c>
      <c r="D177" s="1439"/>
      <c r="E177" s="1439"/>
      <c r="F177" s="1439"/>
      <c r="G177" s="1439"/>
      <c r="H177" s="1439"/>
      <c r="I177" s="1439"/>
      <c r="J177" s="1439"/>
      <c r="K177" s="1442" t="s">
        <v>451</v>
      </c>
      <c r="L177" s="1442">
        <v>10081</v>
      </c>
      <c r="M177" s="1442"/>
      <c r="N177" s="1442"/>
      <c r="O177" s="1517">
        <v>10081</v>
      </c>
      <c r="P177" s="1442">
        <v>717011.55</v>
      </c>
      <c r="Q177" s="1442">
        <v>10063.32</v>
      </c>
      <c r="R177" s="1358">
        <f t="shared" si="33"/>
        <v>718271.25</v>
      </c>
      <c r="S177" s="1444">
        <f t="shared" si="32"/>
        <v>71.25</v>
      </c>
      <c r="T177" s="1445" t="s">
        <v>335</v>
      </c>
      <c r="U177" s="1446">
        <v>38412</v>
      </c>
      <c r="V177" s="1358"/>
      <c r="W177" s="1358">
        <f>+R177+7450.88+5630.81</f>
        <v>731352.94000000006</v>
      </c>
      <c r="X177" s="1358"/>
      <c r="Y177" s="1358"/>
      <c r="Z177" s="1414" t="s">
        <v>292</v>
      </c>
      <c r="AA177" s="1414" t="s">
        <v>453</v>
      </c>
      <c r="AB177" s="1422"/>
      <c r="AC177" s="1422"/>
      <c r="AD177" s="1423"/>
      <c r="AE177" s="1423">
        <f t="shared" si="34"/>
        <v>10081</v>
      </c>
      <c r="AF177" s="1519">
        <f t="shared" si="30"/>
        <v>1.9880520066201082E-2</v>
      </c>
      <c r="AG177" s="1423">
        <f t="shared" si="31"/>
        <v>5630.8080080138934</v>
      </c>
      <c r="AJ177" s="1423"/>
      <c r="AK177" s="1448" t="s">
        <v>6083</v>
      </c>
      <c r="AL177" s="1449" t="s">
        <v>5454</v>
      </c>
      <c r="AM177" s="1511" t="s">
        <v>5466</v>
      </c>
      <c r="AN177" s="1452" t="s">
        <v>451</v>
      </c>
      <c r="AO177" s="1452" t="s">
        <v>451</v>
      </c>
      <c r="AP177" s="1451" t="s">
        <v>5393</v>
      </c>
      <c r="AQ177" s="1452">
        <v>10081</v>
      </c>
      <c r="AR177" s="1453" t="s">
        <v>5503</v>
      </c>
      <c r="AS177" s="1453" t="s">
        <v>5497</v>
      </c>
      <c r="AT177" s="1449" t="s">
        <v>5381</v>
      </c>
    </row>
    <row r="178" spans="1:46" ht="12.75" customHeight="1">
      <c r="A178" s="1439">
        <v>6</v>
      </c>
      <c r="B178" s="1440">
        <v>3</v>
      </c>
      <c r="C178" s="1439" t="s">
        <v>385</v>
      </c>
      <c r="D178" s="1439"/>
      <c r="E178" s="1439"/>
      <c r="F178" s="1439"/>
      <c r="G178" s="1439"/>
      <c r="H178" s="1439"/>
      <c r="I178" s="1439"/>
      <c r="J178" s="1439"/>
      <c r="K178" s="1442" t="s">
        <v>451</v>
      </c>
      <c r="L178" s="1442">
        <v>12540.47</v>
      </c>
      <c r="M178" s="1442"/>
      <c r="N178" s="1442"/>
      <c r="O178" s="1517">
        <v>12540.47</v>
      </c>
      <c r="P178" s="1442">
        <v>883001.83</v>
      </c>
      <c r="Q178" s="1442">
        <v>12518.19</v>
      </c>
      <c r="R178" s="1358">
        <f t="shared" si="33"/>
        <v>884573.4055051168</v>
      </c>
      <c r="S178" s="1444">
        <f t="shared" si="32"/>
        <v>70.537500229665781</v>
      </c>
      <c r="T178" s="1445" t="s">
        <v>335</v>
      </c>
      <c r="U178" s="1446">
        <v>38412</v>
      </c>
      <c r="V178" s="1358"/>
      <c r="W178" s="1358">
        <f>+R178+9268.67+7004.56</f>
        <v>900846.63550511689</v>
      </c>
      <c r="X178" s="1358"/>
      <c r="Y178" s="1358"/>
      <c r="Z178" s="1414" t="s">
        <v>292</v>
      </c>
      <c r="AA178" s="1414" t="s">
        <v>453</v>
      </c>
      <c r="AB178" s="1422"/>
      <c r="AC178" s="1422"/>
      <c r="AD178" s="1423"/>
      <c r="AE178" s="1423">
        <f t="shared" si="34"/>
        <v>12540.47</v>
      </c>
      <c r="AF178" s="1519">
        <f t="shared" si="30"/>
        <v>2.4730787171371161E-2</v>
      </c>
      <c r="AG178" s="1423">
        <f t="shared" si="31"/>
        <v>7004.5609463602805</v>
      </c>
      <c r="AJ178" s="1423"/>
      <c r="AK178" s="1448" t="s">
        <v>6084</v>
      </c>
      <c r="AL178" s="1449" t="s">
        <v>5504</v>
      </c>
      <c r="AM178" s="1511" t="s">
        <v>5418</v>
      </c>
      <c r="AN178" s="1452" t="s">
        <v>451</v>
      </c>
      <c r="AO178" s="1452" t="s">
        <v>451</v>
      </c>
      <c r="AP178" s="1451" t="s">
        <v>5393</v>
      </c>
      <c r="AQ178" s="1452">
        <v>12540.47</v>
      </c>
      <c r="AR178" s="1453" t="s">
        <v>5503</v>
      </c>
      <c r="AS178" s="1453" t="s">
        <v>5497</v>
      </c>
      <c r="AT178" s="1449" t="s">
        <v>5381</v>
      </c>
    </row>
    <row r="179" spans="1:46" ht="12.75" customHeight="1">
      <c r="A179" s="1439">
        <v>7</v>
      </c>
      <c r="B179" s="1440">
        <v>1</v>
      </c>
      <c r="C179" s="1439" t="s">
        <v>385</v>
      </c>
      <c r="D179" s="1439"/>
      <c r="E179" s="1439"/>
      <c r="F179" s="1439"/>
      <c r="G179" s="1439"/>
      <c r="H179" s="1439"/>
      <c r="I179" s="1439"/>
      <c r="J179" s="1439"/>
      <c r="K179" s="1442" t="s">
        <v>451</v>
      </c>
      <c r="L179" s="1442">
        <v>18322.03</v>
      </c>
      <c r="M179" s="1442"/>
      <c r="N179" s="1442"/>
      <c r="O179" s="1517">
        <v>18322.03</v>
      </c>
      <c r="P179" s="1442">
        <v>1338628.56</v>
      </c>
      <c r="Q179" s="1442">
        <v>18638.66</v>
      </c>
      <c r="R179" s="1358">
        <f t="shared" si="33"/>
        <v>1315888.1934203852</v>
      </c>
      <c r="S179" s="1444">
        <f t="shared" si="32"/>
        <v>71.819999935617687</v>
      </c>
      <c r="T179" s="1445" t="s">
        <v>335</v>
      </c>
      <c r="U179" s="1446">
        <v>38412</v>
      </c>
      <c r="V179" s="1358"/>
      <c r="W179" s="1358">
        <f>+R179+13541.83+10233.88</f>
        <v>1339663.9034203852</v>
      </c>
      <c r="X179" s="1358"/>
      <c r="Y179" s="1358"/>
      <c r="Z179" s="1414" t="s">
        <v>292</v>
      </c>
      <c r="AA179" s="1414" t="s">
        <v>453</v>
      </c>
      <c r="AB179" s="1422"/>
      <c r="AC179" s="1422"/>
      <c r="AD179" s="1423"/>
      <c r="AE179" s="1423">
        <f t="shared" si="34"/>
        <v>18322.03</v>
      </c>
      <c r="AF179" s="1519">
        <f t="shared" si="30"/>
        <v>3.6132475455662949E-2</v>
      </c>
      <c r="AG179" s="1423">
        <f t="shared" si="31"/>
        <v>10233.888825222773</v>
      </c>
      <c r="AJ179" s="1423"/>
      <c r="AK179" s="1448" t="s">
        <v>6085</v>
      </c>
      <c r="AL179" s="1449" t="s">
        <v>5369</v>
      </c>
      <c r="AM179" s="1511" t="s">
        <v>5463</v>
      </c>
      <c r="AN179" s="1452" t="s">
        <v>451</v>
      </c>
      <c r="AO179" s="1452" t="s">
        <v>451</v>
      </c>
      <c r="AP179" s="1451" t="s">
        <v>5393</v>
      </c>
      <c r="AQ179" s="1452">
        <v>18322.03</v>
      </c>
      <c r="AR179" s="1453" t="s">
        <v>5505</v>
      </c>
      <c r="AS179" s="1453" t="s">
        <v>5497</v>
      </c>
      <c r="AT179" s="1449" t="s">
        <v>5381</v>
      </c>
    </row>
    <row r="180" spans="1:46" ht="12.75" customHeight="1">
      <c r="A180" s="1439">
        <v>7</v>
      </c>
      <c r="B180" s="1440">
        <v>2</v>
      </c>
      <c r="C180" s="1439" t="s">
        <v>385</v>
      </c>
      <c r="D180" s="1439"/>
      <c r="E180" s="1439"/>
      <c r="F180" s="1439"/>
      <c r="G180" s="1439"/>
      <c r="H180" s="1439"/>
      <c r="I180" s="1439"/>
      <c r="J180" s="1439"/>
      <c r="K180" s="1442" t="s">
        <v>451</v>
      </c>
      <c r="L180" s="1442">
        <v>18407.87</v>
      </c>
      <c r="M180" s="1364"/>
      <c r="N180" s="1442"/>
      <c r="O180" s="1517">
        <v>18407.87</v>
      </c>
      <c r="P180" s="1442">
        <v>1280755.8</v>
      </c>
      <c r="Q180" s="1442">
        <v>18724.5</v>
      </c>
      <c r="R180" s="1358">
        <f t="shared" si="33"/>
        <v>1259098.308</v>
      </c>
      <c r="S180" s="1444">
        <f t="shared" si="32"/>
        <v>68.400000000000006</v>
      </c>
      <c r="T180" s="1445" t="s">
        <v>335</v>
      </c>
      <c r="U180" s="1446">
        <v>38412</v>
      </c>
      <c r="V180" s="1358"/>
      <c r="W180" s="1358">
        <f>+R180+13605.27+10281.84</f>
        <v>1282985.4180000001</v>
      </c>
      <c r="X180" s="1358"/>
      <c r="Y180" s="1358"/>
      <c r="Z180" s="1414" t="s">
        <v>292</v>
      </c>
      <c r="AA180" s="1414" t="s">
        <v>453</v>
      </c>
      <c r="AB180" s="1422"/>
      <c r="AC180" s="1422"/>
      <c r="AD180" s="1423"/>
      <c r="AE180" s="1423">
        <f t="shared" si="34"/>
        <v>18407.87</v>
      </c>
      <c r="AF180" s="1519">
        <f t="shared" si="30"/>
        <v>3.6301758646068931E-2</v>
      </c>
      <c r="AG180" s="1423">
        <f t="shared" si="31"/>
        <v>10281.835314599613</v>
      </c>
      <c r="AJ180" s="1423"/>
      <c r="AK180" s="1448" t="s">
        <v>6086</v>
      </c>
      <c r="AL180" s="1449" t="s">
        <v>5369</v>
      </c>
      <c r="AM180" s="1511" t="s">
        <v>5466</v>
      </c>
      <c r="AN180" s="1452" t="s">
        <v>451</v>
      </c>
      <c r="AO180" s="1452" t="s">
        <v>451</v>
      </c>
      <c r="AP180" s="1451" t="s">
        <v>5393</v>
      </c>
      <c r="AQ180" s="1452">
        <v>18407.87</v>
      </c>
      <c r="AR180" s="1453" t="s">
        <v>5505</v>
      </c>
      <c r="AS180" s="1453" t="s">
        <v>5497</v>
      </c>
      <c r="AT180" s="1449" t="s">
        <v>5381</v>
      </c>
    </row>
    <row r="181" spans="1:46" ht="12.75" customHeight="1">
      <c r="A181" s="1439">
        <v>7</v>
      </c>
      <c r="B181" s="1440">
        <v>3</v>
      </c>
      <c r="C181" s="1439" t="s">
        <v>385</v>
      </c>
      <c r="D181" s="1439"/>
      <c r="E181" s="1439"/>
      <c r="F181" s="1439"/>
      <c r="G181" s="1439"/>
      <c r="H181" s="1439"/>
      <c r="I181" s="1439"/>
      <c r="J181" s="1439"/>
      <c r="K181" s="1442" t="s">
        <v>451</v>
      </c>
      <c r="L181" s="1442">
        <v>18407.87</v>
      </c>
      <c r="M181" s="1364"/>
      <c r="N181" s="1508"/>
      <c r="O181" s="1517">
        <v>18407.87</v>
      </c>
      <c r="P181" s="1442">
        <v>1280755.8</v>
      </c>
      <c r="Q181" s="1442">
        <v>18724.5</v>
      </c>
      <c r="R181" s="1358">
        <f t="shared" si="33"/>
        <v>1259098.308</v>
      </c>
      <c r="S181" s="1444">
        <f t="shared" si="32"/>
        <v>68.400000000000006</v>
      </c>
      <c r="T181" s="1445" t="s">
        <v>335</v>
      </c>
      <c r="U181" s="1446">
        <v>38412</v>
      </c>
      <c r="V181" s="1358"/>
      <c r="W181" s="1358">
        <f>+R181+13605.27+10281.84</f>
        <v>1282985.4180000001</v>
      </c>
      <c r="X181" s="1358"/>
      <c r="Y181" s="1358"/>
      <c r="Z181" s="1414" t="s">
        <v>292</v>
      </c>
      <c r="AA181" s="1414" t="s">
        <v>453</v>
      </c>
      <c r="AB181" s="1422"/>
      <c r="AC181" s="1422"/>
      <c r="AD181" s="1423"/>
      <c r="AE181" s="1423">
        <f t="shared" si="34"/>
        <v>18407.87</v>
      </c>
      <c r="AF181" s="1519">
        <f>AE181/$AF$161</f>
        <v>3.6301758646068931E-2</v>
      </c>
      <c r="AG181" s="1423">
        <f t="shared" si="31"/>
        <v>10281.835314599613</v>
      </c>
      <c r="AJ181" s="1423"/>
      <c r="AK181" s="1448" t="s">
        <v>6087</v>
      </c>
      <c r="AL181" s="1449" t="s">
        <v>5369</v>
      </c>
      <c r="AM181" s="1511" t="s">
        <v>5418</v>
      </c>
      <c r="AN181" s="1452" t="s">
        <v>451</v>
      </c>
      <c r="AO181" s="1452" t="s">
        <v>451</v>
      </c>
      <c r="AP181" s="1451" t="s">
        <v>5393</v>
      </c>
      <c r="AQ181" s="1452">
        <v>18407.87</v>
      </c>
      <c r="AR181" s="1453" t="s">
        <v>5505</v>
      </c>
      <c r="AS181" s="1453" t="s">
        <v>5497</v>
      </c>
      <c r="AT181" s="1449" t="s">
        <v>5381</v>
      </c>
    </row>
    <row r="182" spans="1:46" ht="12.75" customHeight="1">
      <c r="A182" s="1439">
        <v>7</v>
      </c>
      <c r="B182" s="1440">
        <v>4</v>
      </c>
      <c r="C182" s="1439" t="s">
        <v>385</v>
      </c>
      <c r="D182" s="1439"/>
      <c r="E182" s="1439"/>
      <c r="F182" s="1439"/>
      <c r="G182" s="1439"/>
      <c r="H182" s="1439"/>
      <c r="I182" s="1439"/>
      <c r="J182" s="1439"/>
      <c r="K182" s="1442" t="s">
        <v>451</v>
      </c>
      <c r="L182" s="1442">
        <v>27725.01</v>
      </c>
      <c r="M182" s="1364"/>
      <c r="N182" s="1442"/>
      <c r="O182" s="1517">
        <v>27725.01</v>
      </c>
      <c r="P182" s="1442">
        <v>1865550.55</v>
      </c>
      <c r="Q182" s="1442">
        <v>26528.03</v>
      </c>
      <c r="R182" s="1358">
        <f t="shared" si="33"/>
        <v>1949726.6722879724</v>
      </c>
      <c r="S182" s="1444">
        <f t="shared" si="32"/>
        <v>70.3237500108376</v>
      </c>
      <c r="T182" s="1445" t="s">
        <v>335</v>
      </c>
      <c r="U182" s="1446">
        <v>38412</v>
      </c>
      <c r="V182" s="1358"/>
      <c r="W182" s="1358">
        <f>+R182+20491.58+15485.98</f>
        <v>1985704.2322879725</v>
      </c>
      <c r="X182" s="1358"/>
      <c r="Y182" s="1358"/>
      <c r="Z182" s="1414" t="s">
        <v>292</v>
      </c>
      <c r="AA182" s="1414" t="s">
        <v>453</v>
      </c>
      <c r="AB182" s="1422"/>
      <c r="AC182" s="1422"/>
      <c r="AD182" s="1423"/>
      <c r="AE182" s="1423">
        <f t="shared" si="34"/>
        <v>27725.01</v>
      </c>
      <c r="AF182" s="1519">
        <f t="shared" si="30"/>
        <v>5.4675887078724894E-2</v>
      </c>
      <c r="AG182" s="1423">
        <f t="shared" si="31"/>
        <v>15485.984359712853</v>
      </c>
      <c r="AJ182" s="1423"/>
      <c r="AK182" s="1448" t="s">
        <v>6088</v>
      </c>
      <c r="AL182" s="1449" t="s">
        <v>5369</v>
      </c>
      <c r="AM182" s="1511" t="s">
        <v>5457</v>
      </c>
      <c r="AN182" s="1452" t="s">
        <v>451</v>
      </c>
      <c r="AO182" s="1452" t="s">
        <v>451</v>
      </c>
      <c r="AP182" s="1451" t="s">
        <v>5393</v>
      </c>
      <c r="AQ182" s="1452">
        <v>27725.01</v>
      </c>
      <c r="AR182" s="1453" t="s">
        <v>5505</v>
      </c>
      <c r="AS182" s="1453" t="s">
        <v>5497</v>
      </c>
      <c r="AT182" s="1453" t="s">
        <v>5381</v>
      </c>
    </row>
    <row r="183" spans="1:46" ht="12.75" customHeight="1">
      <c r="A183" s="1439">
        <v>8</v>
      </c>
      <c r="B183" s="1440">
        <v>1</v>
      </c>
      <c r="C183" s="1439" t="s">
        <v>385</v>
      </c>
      <c r="D183" s="1439"/>
      <c r="E183" s="1439"/>
      <c r="F183" s="1439"/>
      <c r="G183" s="1439"/>
      <c r="H183" s="1439"/>
      <c r="I183" s="1439"/>
      <c r="J183" s="1439"/>
      <c r="K183" s="1442" t="s">
        <v>451</v>
      </c>
      <c r="L183" s="1442">
        <v>87714.79</v>
      </c>
      <c r="M183" s="1364"/>
      <c r="N183" s="1442"/>
      <c r="O183" s="1517">
        <v>87714.79</v>
      </c>
      <c r="P183" s="1442">
        <v>3733558.11</v>
      </c>
      <c r="Q183" s="1442">
        <f>+L183</f>
        <v>87714.79</v>
      </c>
      <c r="R183" s="1358">
        <f>+P183</f>
        <v>3733558.11</v>
      </c>
      <c r="S183" s="1444">
        <f t="shared" si="32"/>
        <v>42.56475002676288</v>
      </c>
      <c r="T183" s="1445" t="s">
        <v>335</v>
      </c>
      <c r="U183" s="1446">
        <v>38412</v>
      </c>
      <c r="V183" s="1358"/>
      <c r="W183" s="1358">
        <f>+R183+64830.06+48993.67</f>
        <v>3847381.84</v>
      </c>
      <c r="X183" s="1358"/>
      <c r="Y183" s="1358"/>
      <c r="Z183" s="1414" t="s">
        <v>292</v>
      </c>
      <c r="AA183" s="1414" t="s">
        <v>453</v>
      </c>
      <c r="AB183" s="1422"/>
      <c r="AC183" s="1422"/>
      <c r="AD183" s="1423"/>
      <c r="AE183" s="1423">
        <f t="shared" si="34"/>
        <v>87714.79</v>
      </c>
      <c r="AF183" s="1519">
        <f t="shared" si="30"/>
        <v>0.17298042284471918</v>
      </c>
      <c r="AG183" s="1423">
        <f t="shared" si="31"/>
        <v>48993.665504737328</v>
      </c>
      <c r="AJ183" s="1423"/>
      <c r="AK183" s="1448" t="s">
        <v>6089</v>
      </c>
      <c r="AL183" s="1449" t="s">
        <v>5462</v>
      </c>
      <c r="AM183" s="1511" t="s">
        <v>5463</v>
      </c>
      <c r="AN183" s="1452" t="s">
        <v>451</v>
      </c>
      <c r="AO183" s="1452" t="s">
        <v>451</v>
      </c>
      <c r="AP183" s="1451" t="s">
        <v>5393</v>
      </c>
      <c r="AQ183" s="1452">
        <v>87714.79</v>
      </c>
      <c r="AR183" s="1453" t="s">
        <v>5506</v>
      </c>
      <c r="AS183" s="1453" t="s">
        <v>5497</v>
      </c>
      <c r="AT183" s="1453" t="s">
        <v>5381</v>
      </c>
    </row>
    <row r="184" spans="1:46" ht="12.75" customHeight="1">
      <c r="A184" s="1439">
        <v>9</v>
      </c>
      <c r="B184" s="1440">
        <v>1</v>
      </c>
      <c r="C184" s="1439" t="s">
        <v>385</v>
      </c>
      <c r="D184" s="1439"/>
      <c r="E184" s="1439"/>
      <c r="F184" s="1439"/>
      <c r="G184" s="1439"/>
      <c r="H184" s="1439"/>
      <c r="I184" s="1439"/>
      <c r="J184" s="1439"/>
      <c r="K184" s="1442" t="s">
        <v>451</v>
      </c>
      <c r="L184" s="1442">
        <v>12550.25</v>
      </c>
      <c r="M184" s="1364"/>
      <c r="N184" s="1442"/>
      <c r="O184" s="1517">
        <v>12550.25</v>
      </c>
      <c r="P184" s="1442">
        <v>500300.88</v>
      </c>
      <c r="Q184" s="1442">
        <v>10532.65</v>
      </c>
      <c r="R184" s="1358">
        <f t="shared" si="33"/>
        <v>596136.88095778367</v>
      </c>
      <c r="S184" s="1444">
        <f t="shared" si="32"/>
        <v>47.500000474714341</v>
      </c>
      <c r="T184" s="1445" t="s">
        <v>335</v>
      </c>
      <c r="U184" s="1446">
        <v>38412</v>
      </c>
      <c r="V184" s="1358"/>
      <c r="W184" s="1358">
        <f>+R184+9275.9+7010.01</f>
        <v>612422.7909577837</v>
      </c>
      <c r="X184" s="1358"/>
      <c r="Y184" s="1358"/>
      <c r="Z184" s="1414" t="s">
        <v>292</v>
      </c>
      <c r="AA184" s="1414" t="s">
        <v>453</v>
      </c>
      <c r="AB184" s="1422"/>
      <c r="AC184" s="1422"/>
      <c r="AD184" s="1423"/>
      <c r="AE184" s="1423">
        <f t="shared" si="34"/>
        <v>12550.25</v>
      </c>
      <c r="AF184" s="1519">
        <f t="shared" si="30"/>
        <v>2.4750074095907165E-2</v>
      </c>
      <c r="AG184" s="1423">
        <f t="shared" si="31"/>
        <v>7010.0236288638389</v>
      </c>
      <c r="AJ184" s="1423"/>
      <c r="AK184" s="1448" t="s">
        <v>6090</v>
      </c>
      <c r="AL184" s="1449" t="s">
        <v>5372</v>
      </c>
      <c r="AM184" s="1511" t="s">
        <v>5463</v>
      </c>
      <c r="AN184" s="1452" t="s">
        <v>451</v>
      </c>
      <c r="AO184" s="1452" t="s">
        <v>451</v>
      </c>
      <c r="AP184" s="1451" t="s">
        <v>5393</v>
      </c>
      <c r="AQ184" s="1452">
        <v>12550.25</v>
      </c>
      <c r="AR184" s="1453" t="s">
        <v>5507</v>
      </c>
      <c r="AS184" s="1453" t="s">
        <v>5497</v>
      </c>
      <c r="AT184" s="1453" t="s">
        <v>5381</v>
      </c>
    </row>
    <row r="185" spans="1:46" ht="12.75" customHeight="1">
      <c r="A185" s="1439">
        <v>9</v>
      </c>
      <c r="B185" s="1440">
        <v>2</v>
      </c>
      <c r="C185" s="1439" t="s">
        <v>385</v>
      </c>
      <c r="D185" s="1439"/>
      <c r="E185" s="1439"/>
      <c r="F185" s="1439"/>
      <c r="G185" s="1439"/>
      <c r="H185" s="1439"/>
      <c r="I185" s="1439"/>
      <c r="J185" s="1439"/>
      <c r="K185" s="1442" t="s">
        <v>451</v>
      </c>
      <c r="L185" s="1442">
        <v>10040.200000000001</v>
      </c>
      <c r="M185" s="1364"/>
      <c r="N185" s="1442"/>
      <c r="O185" s="1517">
        <v>10040.200000000001</v>
      </c>
      <c r="P185" s="1442">
        <v>453370.88</v>
      </c>
      <c r="Q185" s="1442">
        <v>10047</v>
      </c>
      <c r="R185" s="1358">
        <f t="shared" si="33"/>
        <v>453064.02999661589</v>
      </c>
      <c r="S185" s="1444">
        <f t="shared" si="32"/>
        <v>45.125000497660992</v>
      </c>
      <c r="T185" s="1445" t="s">
        <v>335</v>
      </c>
      <c r="U185" s="1446">
        <v>38412</v>
      </c>
      <c r="V185" s="1358"/>
      <c r="W185" s="1358">
        <f t="shared" ref="W185:W190" si="35">+R185+7420.72+5608.02</f>
        <v>466092.76999661588</v>
      </c>
      <c r="X185" s="1358"/>
      <c r="Y185" s="1358"/>
      <c r="Z185" s="1414" t="s">
        <v>292</v>
      </c>
      <c r="AA185" s="1414" t="s">
        <v>453</v>
      </c>
      <c r="AB185" s="1422"/>
      <c r="AC185" s="1422"/>
      <c r="AD185" s="1423"/>
      <c r="AE185" s="1423">
        <f t="shared" si="34"/>
        <v>10040.200000000001</v>
      </c>
      <c r="AF185" s="1519">
        <f t="shared" si="30"/>
        <v>1.9800059276725734E-2</v>
      </c>
      <c r="AG185" s="1423">
        <f t="shared" si="31"/>
        <v>5608.0189030910724</v>
      </c>
      <c r="AJ185" s="1423"/>
      <c r="AK185" s="1448" t="s">
        <v>6091</v>
      </c>
      <c r="AL185" s="1449" t="s">
        <v>5372</v>
      </c>
      <c r="AM185" s="1511" t="s">
        <v>5466</v>
      </c>
      <c r="AN185" s="1452" t="s">
        <v>451</v>
      </c>
      <c r="AO185" s="1452" t="s">
        <v>451</v>
      </c>
      <c r="AP185" s="1451" t="s">
        <v>5393</v>
      </c>
      <c r="AQ185" s="1452">
        <v>10040.200000000001</v>
      </c>
      <c r="AR185" s="1453" t="s">
        <v>5507</v>
      </c>
      <c r="AS185" s="1453" t="s">
        <v>5497</v>
      </c>
      <c r="AT185" s="1449" t="s">
        <v>5381</v>
      </c>
    </row>
    <row r="186" spans="1:46" ht="12.75" customHeight="1">
      <c r="A186" s="1439">
        <v>9</v>
      </c>
      <c r="B186" s="1440">
        <v>3</v>
      </c>
      <c r="C186" s="1439" t="s">
        <v>385</v>
      </c>
      <c r="D186" s="1439"/>
      <c r="E186" s="1439"/>
      <c r="F186" s="1439"/>
      <c r="G186" s="1439"/>
      <c r="H186" s="1439"/>
      <c r="I186" s="1439"/>
      <c r="J186" s="1439"/>
      <c r="K186" s="1442" t="s">
        <v>451</v>
      </c>
      <c r="L186" s="1442">
        <v>10040.200000000001</v>
      </c>
      <c r="M186" s="1364"/>
      <c r="N186" s="1442"/>
      <c r="O186" s="1517">
        <v>10040.200000000001</v>
      </c>
      <c r="P186" s="1442">
        <v>453370.88</v>
      </c>
      <c r="Q186" s="1442">
        <v>10047</v>
      </c>
      <c r="R186" s="1358">
        <f t="shared" si="33"/>
        <v>453064.02999661589</v>
      </c>
      <c r="S186" s="1444">
        <f t="shared" si="32"/>
        <v>45.125000497660992</v>
      </c>
      <c r="T186" s="1445" t="s">
        <v>335</v>
      </c>
      <c r="U186" s="1446">
        <v>38412</v>
      </c>
      <c r="V186" s="1358"/>
      <c r="W186" s="1358">
        <f t="shared" si="35"/>
        <v>466092.76999661588</v>
      </c>
      <c r="X186" s="1358"/>
      <c r="Y186" s="1358"/>
      <c r="Z186" s="1414" t="s">
        <v>292</v>
      </c>
      <c r="AA186" s="1414" t="s">
        <v>453</v>
      </c>
      <c r="AB186" s="1422"/>
      <c r="AC186" s="1422"/>
      <c r="AD186" s="1423"/>
      <c r="AE186" s="1423">
        <f t="shared" si="34"/>
        <v>10040.200000000001</v>
      </c>
      <c r="AF186" s="1519">
        <f t="shared" si="30"/>
        <v>1.9800059276725734E-2</v>
      </c>
      <c r="AG186" s="1423">
        <f t="shared" si="31"/>
        <v>5608.0189030910724</v>
      </c>
      <c r="AJ186" s="1423"/>
      <c r="AK186" s="1448" t="s">
        <v>6092</v>
      </c>
      <c r="AL186" s="1449" t="s">
        <v>5372</v>
      </c>
      <c r="AM186" s="1511" t="s">
        <v>5418</v>
      </c>
      <c r="AN186" s="1452" t="s">
        <v>451</v>
      </c>
      <c r="AO186" s="1452" t="s">
        <v>451</v>
      </c>
      <c r="AP186" s="1451" t="s">
        <v>5393</v>
      </c>
      <c r="AQ186" s="1452">
        <v>10040.200000000001</v>
      </c>
      <c r="AR186" s="1453" t="s">
        <v>5507</v>
      </c>
      <c r="AS186" s="1453" t="s">
        <v>5497</v>
      </c>
      <c r="AT186" s="1453" t="s">
        <v>5381</v>
      </c>
    </row>
    <row r="187" spans="1:46" ht="12.75" customHeight="1">
      <c r="A187" s="1439">
        <v>9</v>
      </c>
      <c r="B187" s="1440">
        <v>4</v>
      </c>
      <c r="C187" s="1439" t="s">
        <v>385</v>
      </c>
      <c r="D187" s="1439"/>
      <c r="E187" s="1439"/>
      <c r="F187" s="1439"/>
      <c r="G187" s="1439"/>
      <c r="H187" s="1439"/>
      <c r="I187" s="1439"/>
      <c r="J187" s="1439"/>
      <c r="K187" s="1442" t="s">
        <v>451</v>
      </c>
      <c r="L187" s="1442">
        <v>10040.200000000001</v>
      </c>
      <c r="M187" s="1364"/>
      <c r="N187" s="1442"/>
      <c r="O187" s="1517">
        <v>10040.200000000001</v>
      </c>
      <c r="P187" s="1442">
        <v>453370.88</v>
      </c>
      <c r="Q187" s="1442">
        <v>10047</v>
      </c>
      <c r="R187" s="1358">
        <f t="shared" si="33"/>
        <v>453064.02999661589</v>
      </c>
      <c r="S187" s="1444">
        <f t="shared" si="32"/>
        <v>45.125000497660992</v>
      </c>
      <c r="T187" s="1445" t="s">
        <v>335</v>
      </c>
      <c r="U187" s="1446">
        <v>38412</v>
      </c>
      <c r="V187" s="1358"/>
      <c r="W187" s="1358">
        <f t="shared" si="35"/>
        <v>466092.76999661588</v>
      </c>
      <c r="X187" s="1358"/>
      <c r="Y187" s="1358"/>
      <c r="Z187" s="1414" t="s">
        <v>292</v>
      </c>
      <c r="AA187" s="1414" t="s">
        <v>453</v>
      </c>
      <c r="AB187" s="1422"/>
      <c r="AC187" s="1422"/>
      <c r="AD187" s="1423"/>
      <c r="AE187" s="1423">
        <f t="shared" si="34"/>
        <v>10040.200000000001</v>
      </c>
      <c r="AF187" s="1519">
        <f t="shared" si="30"/>
        <v>1.9800059276725734E-2</v>
      </c>
      <c r="AG187" s="1423">
        <f t="shared" si="31"/>
        <v>5608.0189030910724</v>
      </c>
      <c r="AJ187" s="1423"/>
      <c r="AK187" s="1448" t="s">
        <v>6093</v>
      </c>
      <c r="AL187" s="1449" t="s">
        <v>5372</v>
      </c>
      <c r="AM187" s="1511" t="s">
        <v>5457</v>
      </c>
      <c r="AN187" s="1452" t="s">
        <v>451</v>
      </c>
      <c r="AO187" s="1452" t="s">
        <v>451</v>
      </c>
      <c r="AP187" s="1451" t="s">
        <v>5393</v>
      </c>
      <c r="AQ187" s="1452">
        <v>10040.200000000001</v>
      </c>
      <c r="AR187" s="1453" t="s">
        <v>5507</v>
      </c>
      <c r="AS187" s="1453" t="s">
        <v>5497</v>
      </c>
      <c r="AT187" s="1453" t="s">
        <v>5381</v>
      </c>
    </row>
    <row r="188" spans="1:46" ht="12.75" customHeight="1">
      <c r="A188" s="1439">
        <v>9</v>
      </c>
      <c r="B188" s="1440">
        <v>5</v>
      </c>
      <c r="C188" s="1439" t="s">
        <v>385</v>
      </c>
      <c r="D188" s="1439"/>
      <c r="E188" s="1439"/>
      <c r="F188" s="1439"/>
      <c r="G188" s="1439"/>
      <c r="H188" s="1439"/>
      <c r="I188" s="1439"/>
      <c r="J188" s="1439"/>
      <c r="K188" s="1442" t="s">
        <v>451</v>
      </c>
      <c r="L188" s="1442">
        <v>10040.200000000001</v>
      </c>
      <c r="M188" s="1364"/>
      <c r="N188" s="1442"/>
      <c r="O188" s="1517">
        <v>10040.200000000001</v>
      </c>
      <c r="P188" s="1442">
        <v>453370.88</v>
      </c>
      <c r="Q188" s="1442">
        <v>10047</v>
      </c>
      <c r="R188" s="1358">
        <f t="shared" si="33"/>
        <v>453064.02999661589</v>
      </c>
      <c r="S188" s="1444">
        <f t="shared" si="32"/>
        <v>45.125000497660992</v>
      </c>
      <c r="T188" s="1445" t="s">
        <v>335</v>
      </c>
      <c r="U188" s="1446">
        <v>38412</v>
      </c>
      <c r="V188" s="1358"/>
      <c r="W188" s="1358">
        <f t="shared" si="35"/>
        <v>466092.76999661588</v>
      </c>
      <c r="X188" s="1358"/>
      <c r="Y188" s="1358"/>
      <c r="Z188" s="1414" t="s">
        <v>292</v>
      </c>
      <c r="AA188" s="1414" t="s">
        <v>453</v>
      </c>
      <c r="AB188" s="1422"/>
      <c r="AC188" s="1422"/>
      <c r="AD188" s="1423"/>
      <c r="AE188" s="1423">
        <f t="shared" si="34"/>
        <v>10040.200000000001</v>
      </c>
      <c r="AF188" s="1519">
        <f t="shared" si="30"/>
        <v>1.9800059276725734E-2</v>
      </c>
      <c r="AG188" s="1423">
        <f t="shared" si="31"/>
        <v>5608.0189030910724</v>
      </c>
      <c r="AJ188" s="1423"/>
      <c r="AK188" s="1448" t="s">
        <v>6094</v>
      </c>
      <c r="AL188" s="1449" t="s">
        <v>5372</v>
      </c>
      <c r="AM188" s="1511" t="s">
        <v>5447</v>
      </c>
      <c r="AN188" s="1452" t="s">
        <v>451</v>
      </c>
      <c r="AO188" s="1452" t="s">
        <v>451</v>
      </c>
      <c r="AP188" s="1451" t="s">
        <v>5393</v>
      </c>
      <c r="AQ188" s="1452">
        <v>10040.200000000001</v>
      </c>
      <c r="AR188" s="1453" t="s">
        <v>5507</v>
      </c>
      <c r="AS188" s="1453" t="s">
        <v>5497</v>
      </c>
      <c r="AT188" s="1453" t="s">
        <v>5381</v>
      </c>
    </row>
    <row r="189" spans="1:46" ht="12.75" customHeight="1">
      <c r="A189" s="1439">
        <v>9</v>
      </c>
      <c r="B189" s="1440">
        <v>6</v>
      </c>
      <c r="C189" s="1439" t="s">
        <v>385</v>
      </c>
      <c r="D189" s="1439"/>
      <c r="E189" s="1439"/>
      <c r="F189" s="1439"/>
      <c r="G189" s="1439"/>
      <c r="H189" s="1439"/>
      <c r="I189" s="1439"/>
      <c r="J189" s="1439"/>
      <c r="K189" s="1442" t="s">
        <v>451</v>
      </c>
      <c r="L189" s="1442">
        <v>10040.200000000001</v>
      </c>
      <c r="M189" s="1364"/>
      <c r="N189" s="1442"/>
      <c r="O189" s="1517">
        <v>10040.200000000001</v>
      </c>
      <c r="P189" s="1442">
        <v>453370.88</v>
      </c>
      <c r="Q189" s="1442">
        <v>10047</v>
      </c>
      <c r="R189" s="1358">
        <f t="shared" si="33"/>
        <v>453064.02999661589</v>
      </c>
      <c r="S189" s="1444">
        <f t="shared" si="32"/>
        <v>45.125000497660992</v>
      </c>
      <c r="T189" s="1445" t="s">
        <v>335</v>
      </c>
      <c r="U189" s="1446">
        <v>38412</v>
      </c>
      <c r="V189" s="1358"/>
      <c r="W189" s="1358">
        <f t="shared" si="35"/>
        <v>466092.76999661588</v>
      </c>
      <c r="X189" s="1358"/>
      <c r="Y189" s="1358"/>
      <c r="Z189" s="1414" t="s">
        <v>292</v>
      </c>
      <c r="AA189" s="1414" t="s">
        <v>453</v>
      </c>
      <c r="AB189" s="1422"/>
      <c r="AC189" s="1422"/>
      <c r="AD189" s="1423"/>
      <c r="AE189" s="1423">
        <f t="shared" si="34"/>
        <v>10040.200000000001</v>
      </c>
      <c r="AF189" s="1519">
        <f t="shared" si="30"/>
        <v>1.9800059276725734E-2</v>
      </c>
      <c r="AG189" s="1423">
        <f t="shared" si="31"/>
        <v>5608.0189030910724</v>
      </c>
      <c r="AJ189" s="1423"/>
      <c r="AK189" s="1448" t="s">
        <v>6095</v>
      </c>
      <c r="AL189" s="1449" t="s">
        <v>5372</v>
      </c>
      <c r="AM189" s="1511" t="s">
        <v>5449</v>
      </c>
      <c r="AN189" s="1452" t="s">
        <v>451</v>
      </c>
      <c r="AO189" s="1452" t="s">
        <v>451</v>
      </c>
      <c r="AP189" s="1451" t="s">
        <v>5393</v>
      </c>
      <c r="AQ189" s="1452">
        <v>10040.200000000001</v>
      </c>
      <c r="AR189" s="1453" t="s">
        <v>5507</v>
      </c>
      <c r="AS189" s="1453" t="s">
        <v>5497</v>
      </c>
      <c r="AT189" s="1453" t="s">
        <v>5381</v>
      </c>
    </row>
    <row r="190" spans="1:46" ht="12.75" customHeight="1">
      <c r="A190" s="1439">
        <v>9</v>
      </c>
      <c r="B190" s="1440">
        <v>7</v>
      </c>
      <c r="C190" s="1439" t="s">
        <v>385</v>
      </c>
      <c r="D190" s="1439"/>
      <c r="E190" s="1439"/>
      <c r="F190" s="1439"/>
      <c r="G190" s="1439"/>
      <c r="H190" s="1439"/>
      <c r="I190" s="1439"/>
      <c r="J190" s="1439"/>
      <c r="K190" s="1442" t="s">
        <v>451</v>
      </c>
      <c r="L190" s="1442">
        <v>10040.200000000001</v>
      </c>
      <c r="M190" s="1364"/>
      <c r="N190" s="1442"/>
      <c r="O190" s="1517">
        <v>10040.200000000001</v>
      </c>
      <c r="P190" s="1442">
        <v>453370.88</v>
      </c>
      <c r="Q190" s="1442">
        <v>10047</v>
      </c>
      <c r="R190" s="1358">
        <f t="shared" si="33"/>
        <v>453064.02999661589</v>
      </c>
      <c r="S190" s="1444">
        <f t="shared" si="32"/>
        <v>45.125000497660992</v>
      </c>
      <c r="T190" s="1445" t="s">
        <v>335</v>
      </c>
      <c r="U190" s="1446">
        <v>38412</v>
      </c>
      <c r="V190" s="1358"/>
      <c r="W190" s="1358">
        <f t="shared" si="35"/>
        <v>466092.76999661588</v>
      </c>
      <c r="X190" s="1358"/>
      <c r="Y190" s="1358"/>
      <c r="Z190" s="1414" t="s">
        <v>292</v>
      </c>
      <c r="AA190" s="1414" t="s">
        <v>453</v>
      </c>
      <c r="AB190" s="1422"/>
      <c r="AC190" s="1422"/>
      <c r="AD190" s="1423"/>
      <c r="AE190" s="1423">
        <f t="shared" si="34"/>
        <v>10040.200000000001</v>
      </c>
      <c r="AF190" s="1519">
        <f t="shared" si="30"/>
        <v>1.9800059276725734E-2</v>
      </c>
      <c r="AG190" s="1423">
        <f t="shared" si="31"/>
        <v>5608.0189030910724</v>
      </c>
      <c r="AJ190" s="1423"/>
      <c r="AK190" s="1448" t="s">
        <v>6096</v>
      </c>
      <c r="AL190" s="1449" t="s">
        <v>5372</v>
      </c>
      <c r="AM190" s="1511" t="s">
        <v>5444</v>
      </c>
      <c r="AN190" s="1452" t="s">
        <v>451</v>
      </c>
      <c r="AO190" s="1452" t="s">
        <v>451</v>
      </c>
      <c r="AP190" s="1451" t="s">
        <v>5393</v>
      </c>
      <c r="AQ190" s="1452">
        <v>10040.200000000001</v>
      </c>
      <c r="AR190" s="1453" t="s">
        <v>5507</v>
      </c>
      <c r="AS190" s="1453" t="s">
        <v>5497</v>
      </c>
      <c r="AT190" s="1453" t="s">
        <v>5381</v>
      </c>
    </row>
    <row r="191" spans="1:46" ht="12.75" customHeight="1">
      <c r="A191" s="1439">
        <v>9</v>
      </c>
      <c r="B191" s="1440">
        <v>8</v>
      </c>
      <c r="C191" s="1439" t="s">
        <v>385</v>
      </c>
      <c r="D191" s="1439"/>
      <c r="E191" s="1439"/>
      <c r="F191" s="1439"/>
      <c r="G191" s="1439"/>
      <c r="H191" s="1439"/>
      <c r="I191" s="1439"/>
      <c r="J191" s="1439"/>
      <c r="K191" s="1442" t="s">
        <v>451</v>
      </c>
      <c r="L191" s="1442">
        <f>64279.7-30000</f>
        <v>34279.699999999997</v>
      </c>
      <c r="M191" s="1364"/>
      <c r="N191" s="1442"/>
      <c r="O191" s="1517">
        <f>64279.7-30000</f>
        <v>34279.699999999997</v>
      </c>
      <c r="P191" s="1442">
        <v>2736347.36</v>
      </c>
      <c r="Q191" s="1442">
        <v>67487.48</v>
      </c>
      <c r="R191" s="1358">
        <f t="shared" si="33"/>
        <v>1389904.7141275981</v>
      </c>
      <c r="S191" s="1444">
        <f t="shared" si="32"/>
        <v>40.545999939544345</v>
      </c>
      <c r="T191" s="1445" t="s">
        <v>335</v>
      </c>
      <c r="U191" s="1446">
        <v>38412</v>
      </c>
      <c r="V191" s="1358"/>
      <c r="W191" s="1358">
        <f>2606284.71-1216380+25336.15+19147.15</f>
        <v>1434388.0099999998</v>
      </c>
      <c r="X191" s="1358"/>
      <c r="Y191" s="1358"/>
      <c r="Z191" s="1414" t="s">
        <v>292</v>
      </c>
      <c r="AA191" s="1414" t="s">
        <v>453</v>
      </c>
      <c r="AB191" s="1422"/>
      <c r="AC191" s="1422"/>
      <c r="AD191" s="1423"/>
      <c r="AE191" s="1423">
        <f t="shared" si="34"/>
        <v>34279.699999999997</v>
      </c>
      <c r="AF191" s="1519">
        <f>AE191/$AF$161</f>
        <v>6.7602248161229367E-2</v>
      </c>
      <c r="AG191" s="1423">
        <f t="shared" si="31"/>
        <v>19147.149020168024</v>
      </c>
      <c r="AJ191" s="1423"/>
      <c r="AK191" s="1448" t="s">
        <v>6097</v>
      </c>
      <c r="AL191" s="1449" t="s">
        <v>5372</v>
      </c>
      <c r="AM191" s="1511" t="s">
        <v>5450</v>
      </c>
      <c r="AN191" s="1452" t="s">
        <v>451</v>
      </c>
      <c r="AO191" s="1452" t="s">
        <v>451</v>
      </c>
      <c r="AP191" s="1451" t="s">
        <v>5393</v>
      </c>
      <c r="AQ191" s="1452">
        <v>34279.699999999997</v>
      </c>
      <c r="AR191" s="1453" t="s">
        <v>5507</v>
      </c>
      <c r="AS191" s="1453" t="s">
        <v>5497</v>
      </c>
      <c r="AT191" s="1453" t="s">
        <v>5381</v>
      </c>
    </row>
    <row r="192" spans="1:46" ht="12.75" customHeight="1">
      <c r="A192" s="1439"/>
      <c r="B192" s="1440"/>
      <c r="C192" s="1508" t="s">
        <v>451</v>
      </c>
      <c r="D192" s="1508"/>
      <c r="E192" s="1508"/>
      <c r="F192" s="1508"/>
      <c r="G192" s="1508"/>
      <c r="H192" s="1508"/>
      <c r="I192" s="1508"/>
      <c r="J192" s="1508"/>
      <c r="K192" s="1472" t="s">
        <v>98</v>
      </c>
      <c r="L192" s="1455">
        <f t="shared" ref="L192:Q192" si="36">SUM(L164:L191)</f>
        <v>504435.35000000009</v>
      </c>
      <c r="M192" s="1455">
        <f t="shared" si="36"/>
        <v>5147.29</v>
      </c>
      <c r="N192" s="1455">
        <f t="shared" si="36"/>
        <v>42941.729999999996</v>
      </c>
      <c r="O192" s="1455">
        <f t="shared" si="36"/>
        <v>464137.56000000006</v>
      </c>
      <c r="P192" s="1455">
        <f t="shared" si="36"/>
        <v>31028756.159999993</v>
      </c>
      <c r="Q192" s="1455">
        <f t="shared" si="36"/>
        <v>542100.4800000001</v>
      </c>
      <c r="R192" s="1455">
        <f>SUM(R164:R191)</f>
        <v>29730942.674237639</v>
      </c>
      <c r="S192" s="1439"/>
      <c r="T192" s="1439"/>
      <c r="U192" s="1439"/>
      <c r="V192" s="1371">
        <f>SUM(V164:V191)</f>
        <v>1036137.42</v>
      </c>
      <c r="W192" s="1371">
        <f>SUM(W164:W191)</f>
        <v>25020756.622567348</v>
      </c>
      <c r="X192" s="1371">
        <f>SUM(X164:X191)</f>
        <v>0</v>
      </c>
      <c r="Y192" s="1371">
        <f>SUM(Y164:Y191)</f>
        <v>4087110.9675427144</v>
      </c>
      <c r="AB192" s="1422"/>
      <c r="AC192" s="1422"/>
      <c r="AD192" s="1423"/>
      <c r="AK192" s="1448"/>
      <c r="AL192" s="1449"/>
      <c r="AM192" s="1511"/>
      <c r="AN192" s="1452"/>
      <c r="AO192" s="1452"/>
      <c r="AP192" s="1451"/>
      <c r="AQ192" s="1452"/>
      <c r="AR192" s="1453"/>
      <c r="AS192" s="1453"/>
      <c r="AT192" s="1453"/>
    </row>
    <row r="193" spans="1:46" ht="10.5" customHeight="1">
      <c r="A193" s="1982" t="s">
        <v>458</v>
      </c>
      <c r="B193" s="1983"/>
      <c r="C193" s="1983"/>
      <c r="D193" s="1983"/>
      <c r="E193" s="1983"/>
      <c r="F193" s="1983"/>
      <c r="G193" s="1983"/>
      <c r="H193" s="1983"/>
      <c r="I193" s="1983"/>
      <c r="J193" s="1983"/>
      <c r="K193" s="1983"/>
      <c r="L193" s="1983"/>
      <c r="M193" s="1983"/>
      <c r="N193" s="1983"/>
      <c r="O193" s="1984"/>
      <c r="P193" s="1492"/>
      <c r="Q193" s="1529"/>
      <c r="R193" s="1530"/>
      <c r="S193" s="1500"/>
      <c r="T193" s="1531"/>
      <c r="U193" s="1530"/>
      <c r="V193" s="1387"/>
      <c r="W193" s="1388"/>
      <c r="X193" s="1388"/>
      <c r="Y193" s="1389"/>
      <c r="AB193" s="1422"/>
      <c r="AC193" s="1422"/>
      <c r="AK193" s="1448"/>
      <c r="AL193" s="1449"/>
      <c r="AM193" s="1511"/>
      <c r="AN193" s="1452"/>
      <c r="AO193" s="1452"/>
      <c r="AP193" s="1451"/>
      <c r="AQ193" s="1452"/>
      <c r="AR193" s="1453"/>
      <c r="AS193" s="1453"/>
      <c r="AT193" s="1453"/>
    </row>
    <row r="194" spans="1:46" ht="12.75" customHeight="1">
      <c r="A194" s="1424"/>
      <c r="B194" s="1425"/>
      <c r="C194" s="1426" t="s">
        <v>256</v>
      </c>
      <c r="D194" s="1426" t="s">
        <v>257</v>
      </c>
      <c r="E194" s="1427" t="s">
        <v>258</v>
      </c>
      <c r="F194" s="1427" t="s">
        <v>259</v>
      </c>
      <c r="G194" s="1427" t="s">
        <v>260</v>
      </c>
      <c r="H194" s="1427" t="s">
        <v>261</v>
      </c>
      <c r="I194" s="1427" t="s">
        <v>262</v>
      </c>
      <c r="J194" s="1427" t="s">
        <v>263</v>
      </c>
      <c r="K194" s="1974" t="s">
        <v>264</v>
      </c>
      <c r="L194" s="1975"/>
      <c r="M194" s="1975"/>
      <c r="N194" s="1975" t="s">
        <v>265</v>
      </c>
      <c r="O194" s="1976"/>
      <c r="P194" s="1475"/>
      <c r="Q194" s="1475"/>
      <c r="R194" s="1430" t="s">
        <v>367</v>
      </c>
      <c r="S194" s="1430" t="s">
        <v>267</v>
      </c>
      <c r="T194" s="1430"/>
      <c r="U194" s="1430"/>
      <c r="V194" s="1977" t="s">
        <v>268</v>
      </c>
      <c r="W194" s="1978"/>
      <c r="X194" s="1978"/>
      <c r="Y194" s="1979"/>
      <c r="AB194" s="1422"/>
      <c r="AC194" s="1422"/>
      <c r="AK194" s="1448"/>
      <c r="AL194" s="1449"/>
      <c r="AM194" s="1511"/>
      <c r="AN194" s="1452"/>
      <c r="AO194" s="1452"/>
      <c r="AP194" s="1451"/>
      <c r="AQ194" s="1452"/>
      <c r="AR194" s="1453"/>
      <c r="AS194" s="1453"/>
      <c r="AT194" s="1453"/>
    </row>
    <row r="195" spans="1:46" ht="11.25">
      <c r="A195" s="1470" t="s">
        <v>269</v>
      </c>
      <c r="B195" s="1471" t="s">
        <v>270</v>
      </c>
      <c r="C195" s="1470" t="s">
        <v>271</v>
      </c>
      <c r="D195" s="1436"/>
      <c r="E195" s="1436"/>
      <c r="F195" s="1436"/>
      <c r="G195" s="1436"/>
      <c r="H195" s="1436"/>
      <c r="I195" s="1436"/>
      <c r="J195" s="1436"/>
      <c r="K195" s="1436" t="s">
        <v>272</v>
      </c>
      <c r="L195" s="1496" t="s">
        <v>370</v>
      </c>
      <c r="M195" s="1471" t="s">
        <v>274</v>
      </c>
      <c r="N195" s="1471" t="s">
        <v>371</v>
      </c>
      <c r="O195" s="1471" t="s">
        <v>276</v>
      </c>
      <c r="P195" s="1437" t="s">
        <v>277</v>
      </c>
      <c r="Q195" s="1469" t="s">
        <v>278</v>
      </c>
      <c r="R195" s="1438" t="s">
        <v>279</v>
      </c>
      <c r="S195" s="1438" t="s">
        <v>280</v>
      </c>
      <c r="T195" s="1438" t="s">
        <v>281</v>
      </c>
      <c r="U195" s="1438" t="s">
        <v>282</v>
      </c>
      <c r="V195" s="1378" t="s">
        <v>283</v>
      </c>
      <c r="W195" s="1378" t="s">
        <v>284</v>
      </c>
      <c r="X195" s="1378" t="s">
        <v>285</v>
      </c>
      <c r="Y195" s="1378" t="s">
        <v>286</v>
      </c>
      <c r="AB195" s="1422"/>
      <c r="AC195" s="1422"/>
      <c r="AK195" s="1448"/>
      <c r="AL195" s="1449"/>
      <c r="AM195" s="1511"/>
      <c r="AN195" s="1452"/>
      <c r="AO195" s="1452"/>
      <c r="AP195" s="1451"/>
      <c r="AQ195" s="1452"/>
      <c r="AR195" s="1453"/>
      <c r="AS195" s="1453"/>
      <c r="AT195" s="1453"/>
    </row>
    <row r="196" spans="1:46" ht="14.25" customHeight="1">
      <c r="A196" s="1439">
        <v>11</v>
      </c>
      <c r="B196" s="1440">
        <v>1</v>
      </c>
      <c r="C196" s="1477" t="s">
        <v>385</v>
      </c>
      <c r="D196" s="1477"/>
      <c r="E196" s="1532"/>
      <c r="F196" s="1532">
        <v>35921</v>
      </c>
      <c r="G196" s="1477">
        <v>406</v>
      </c>
      <c r="H196" s="1477" t="s">
        <v>313</v>
      </c>
      <c r="I196" s="1477">
        <v>116</v>
      </c>
      <c r="J196" s="1477" t="s">
        <v>459</v>
      </c>
      <c r="K196" s="1442" t="s">
        <v>460</v>
      </c>
      <c r="L196" s="1442">
        <v>5424.27</v>
      </c>
      <c r="M196" s="1442"/>
      <c r="N196" s="1442"/>
      <c r="O196" s="1442">
        <v>5424.27</v>
      </c>
      <c r="P196" s="1442">
        <v>803876.81</v>
      </c>
      <c r="Q196" s="1442">
        <f>+L196</f>
        <v>5424.27</v>
      </c>
      <c r="R196" s="1442">
        <f>+P196</f>
        <v>803876.81</v>
      </c>
      <c r="S196" s="1444">
        <f>+P196/Q196</f>
        <v>148.19999926257358</v>
      </c>
      <c r="T196" s="1445" t="s">
        <v>335</v>
      </c>
      <c r="U196" s="1446">
        <v>38412</v>
      </c>
      <c r="V196" s="1358"/>
      <c r="W196" s="1358">
        <f>+R196</f>
        <v>803876.81</v>
      </c>
      <c r="X196" s="1358"/>
      <c r="Y196" s="1358"/>
      <c r="Z196" s="1414" t="s">
        <v>292</v>
      </c>
      <c r="AA196" s="1414" t="s">
        <v>453</v>
      </c>
      <c r="AB196" s="1422"/>
      <c r="AC196" s="1422"/>
      <c r="AJ196" s="1423"/>
      <c r="AK196" s="1448" t="s">
        <v>6098</v>
      </c>
      <c r="AL196" s="1449" t="s">
        <v>5508</v>
      </c>
      <c r="AM196" s="1511" t="s">
        <v>5463</v>
      </c>
      <c r="AN196" s="1450" t="s">
        <v>5509</v>
      </c>
      <c r="AO196" s="1450" t="s">
        <v>5509</v>
      </c>
      <c r="AP196" s="1451" t="s">
        <v>5393</v>
      </c>
      <c r="AQ196" s="1452">
        <v>5424.27</v>
      </c>
      <c r="AR196" s="1453" t="s">
        <v>5510</v>
      </c>
      <c r="AS196" s="1453" t="s">
        <v>5497</v>
      </c>
      <c r="AT196" s="1453" t="s">
        <v>5381</v>
      </c>
    </row>
    <row r="197" spans="1:46" ht="14.25" hidden="1" customHeight="1">
      <c r="A197" s="1439" t="s">
        <v>461</v>
      </c>
      <c r="B197" s="1440">
        <v>1</v>
      </c>
      <c r="C197" s="1477" t="s">
        <v>385</v>
      </c>
      <c r="D197" s="1477"/>
      <c r="E197" s="1532"/>
      <c r="F197" s="1532">
        <v>35921</v>
      </c>
      <c r="G197" s="1477">
        <v>406</v>
      </c>
      <c r="H197" s="1477" t="s">
        <v>313</v>
      </c>
      <c r="I197" s="1477">
        <v>117</v>
      </c>
      <c r="J197" s="1477" t="s">
        <v>459</v>
      </c>
      <c r="K197" s="1442" t="s">
        <v>460</v>
      </c>
      <c r="L197" s="1442">
        <f>8069.7-8069.7</f>
        <v>0</v>
      </c>
      <c r="M197" s="1442"/>
      <c r="N197" s="1442"/>
      <c r="O197" s="1442">
        <f>8069.7-8069.7</f>
        <v>0</v>
      </c>
      <c r="P197" s="1442">
        <v>1172930.8999999999</v>
      </c>
      <c r="Q197" s="1442">
        <f>+L197</f>
        <v>0</v>
      </c>
      <c r="R197" s="1442">
        <f>+P197</f>
        <v>1172930.8999999999</v>
      </c>
      <c r="S197" s="1444" t="e">
        <f>+P197/Q197</f>
        <v>#DIV/0!</v>
      </c>
      <c r="T197" s="1445" t="s">
        <v>335</v>
      </c>
      <c r="U197" s="1446">
        <v>38412</v>
      </c>
      <c r="V197" s="1358"/>
      <c r="W197" s="1358">
        <f>1172930.9-1172930.9</f>
        <v>0</v>
      </c>
      <c r="X197" s="1358"/>
      <c r="Y197" s="1358"/>
      <c r="Z197" s="1414" t="s">
        <v>292</v>
      </c>
      <c r="AA197" s="1414" t="s">
        <v>453</v>
      </c>
      <c r="AB197" s="1422"/>
      <c r="AC197" s="1422"/>
      <c r="AJ197" s="1423"/>
      <c r="AK197" s="1448"/>
      <c r="AL197" s="1449"/>
      <c r="AM197" s="1511"/>
      <c r="AN197" s="1450"/>
      <c r="AO197" s="1450"/>
      <c r="AP197" s="1451"/>
      <c r="AQ197" s="1452"/>
      <c r="AR197" s="1453"/>
      <c r="AS197" s="1453"/>
      <c r="AT197" s="1453"/>
    </row>
    <row r="198" spans="1:46" ht="14.25" customHeight="1">
      <c r="A198" s="1439" t="s">
        <v>462</v>
      </c>
      <c r="B198" s="1440">
        <v>1</v>
      </c>
      <c r="C198" s="1477" t="s">
        <v>385</v>
      </c>
      <c r="D198" s="1477"/>
      <c r="E198" s="1532"/>
      <c r="F198" s="1477"/>
      <c r="G198" s="1477"/>
      <c r="H198" s="1477"/>
      <c r="I198" s="1477"/>
      <c r="J198" s="1477"/>
      <c r="K198" s="1442" t="s">
        <v>460</v>
      </c>
      <c r="L198" s="1442">
        <v>9481.17</v>
      </c>
      <c r="M198" s="1442"/>
      <c r="N198" s="1442"/>
      <c r="O198" s="1442">
        <v>9481.17</v>
      </c>
      <c r="P198" s="1442"/>
      <c r="Q198" s="1442"/>
      <c r="R198" s="1358">
        <f>+S198*O198</f>
        <v>2180669.1</v>
      </c>
      <c r="S198" s="1358">
        <v>230</v>
      </c>
      <c r="T198" s="1439" t="s">
        <v>302</v>
      </c>
      <c r="U198" s="1439"/>
      <c r="V198" s="1358"/>
      <c r="W198" s="1358">
        <f>+R198</f>
        <v>2180669.1</v>
      </c>
      <c r="X198" s="1358"/>
      <c r="Y198" s="1358"/>
      <c r="Z198" s="1414" t="s">
        <v>303</v>
      </c>
      <c r="AB198" s="1422"/>
      <c r="AC198" s="1422"/>
      <c r="AJ198" s="1423"/>
      <c r="AK198" s="1448" t="s">
        <v>6099</v>
      </c>
      <c r="AL198" s="1449" t="s">
        <v>5511</v>
      </c>
      <c r="AM198" s="1511" t="s">
        <v>5463</v>
      </c>
      <c r="AN198" s="1453" t="s">
        <v>5509</v>
      </c>
      <c r="AO198" s="1453" t="s">
        <v>5509</v>
      </c>
      <c r="AP198" s="1451" t="s">
        <v>5393</v>
      </c>
      <c r="AQ198" s="1452">
        <v>9481.17</v>
      </c>
      <c r="AR198" s="1453" t="s">
        <v>5512</v>
      </c>
      <c r="AS198" s="1453" t="s">
        <v>5497</v>
      </c>
      <c r="AT198" s="1453" t="s">
        <v>5381</v>
      </c>
    </row>
    <row r="199" spans="1:46" ht="14.25" hidden="1" customHeight="1">
      <c r="A199" s="1523" t="s">
        <v>463</v>
      </c>
      <c r="B199" s="1525">
        <v>1</v>
      </c>
      <c r="C199" s="1523" t="s">
        <v>464</v>
      </c>
      <c r="D199" s="1523"/>
      <c r="E199" s="1533"/>
      <c r="F199" s="1523"/>
      <c r="G199" s="1523"/>
      <c r="H199" s="1523"/>
      <c r="I199" s="1523"/>
      <c r="J199" s="1523"/>
      <c r="K199" s="1475" t="s">
        <v>460</v>
      </c>
      <c r="L199" s="1523"/>
      <c r="M199" s="1475">
        <f>14161.32-14161.32</f>
        <v>0</v>
      </c>
      <c r="N199" s="1475"/>
      <c r="O199" s="1475">
        <f>14161.32-14161.32</f>
        <v>0</v>
      </c>
      <c r="P199" s="1475">
        <v>3257082.9</v>
      </c>
      <c r="Q199" s="1475">
        <v>14161.23</v>
      </c>
      <c r="R199" s="1390">
        <f>+P199/Q199*M199</f>
        <v>0</v>
      </c>
      <c r="S199" s="1390">
        <f>+P199/Q199</f>
        <v>230</v>
      </c>
      <c r="T199" s="1534" t="s">
        <v>465</v>
      </c>
      <c r="U199" s="1535">
        <v>38581</v>
      </c>
      <c r="V199" s="1390">
        <f>3257103.6-3257103.6</f>
        <v>0</v>
      </c>
      <c r="W199" s="1390"/>
      <c r="X199" s="1390"/>
      <c r="Y199" s="1390"/>
      <c r="Z199" s="1414" t="s">
        <v>292</v>
      </c>
      <c r="AA199" s="1414" t="s">
        <v>466</v>
      </c>
      <c r="AB199" s="1422"/>
      <c r="AC199" s="1422"/>
      <c r="AK199" s="1448"/>
      <c r="AL199" s="1449"/>
      <c r="AM199" s="1511"/>
      <c r="AN199" s="1453"/>
      <c r="AO199" s="1453"/>
      <c r="AP199" s="1451"/>
      <c r="AQ199" s="1452"/>
      <c r="AR199" s="1453"/>
      <c r="AS199" s="1453"/>
      <c r="AT199" s="1453"/>
    </row>
    <row r="200" spans="1:46" s="1439" customFormat="1" ht="14.25" customHeight="1">
      <c r="B200" s="1440"/>
      <c r="C200" s="1472" t="s">
        <v>460</v>
      </c>
      <c r="D200" s="1472"/>
      <c r="E200" s="1536"/>
      <c r="F200" s="1472"/>
      <c r="G200" s="1472"/>
      <c r="H200" s="1472"/>
      <c r="I200" s="1472"/>
      <c r="J200" s="1472"/>
      <c r="K200" s="1472" t="s">
        <v>98</v>
      </c>
      <c r="L200" s="1455">
        <f t="shared" ref="L200:Q200" si="37">SUM(L196:L199)</f>
        <v>14905.44</v>
      </c>
      <c r="M200" s="1455">
        <f t="shared" si="37"/>
        <v>0</v>
      </c>
      <c r="N200" s="1455">
        <f t="shared" si="37"/>
        <v>0</v>
      </c>
      <c r="O200" s="1455">
        <f t="shared" si="37"/>
        <v>14905.44</v>
      </c>
      <c r="P200" s="1455">
        <f t="shared" si="37"/>
        <v>5233890.6099999994</v>
      </c>
      <c r="Q200" s="1455">
        <f t="shared" si="37"/>
        <v>19585.5</v>
      </c>
      <c r="R200" s="1455">
        <f>SUM(R196:R199)</f>
        <v>4157476.81</v>
      </c>
      <c r="S200" s="1537"/>
      <c r="T200" s="1538"/>
      <c r="V200" s="1371">
        <f>SUM(V196:V199)</f>
        <v>0</v>
      </c>
      <c r="W200" s="1371">
        <f>SUM(W196:W199)</f>
        <v>2984545.91</v>
      </c>
      <c r="X200" s="1371">
        <f>SUM(X196:X199)</f>
        <v>0</v>
      </c>
      <c r="Y200" s="1371">
        <f>SUM(Y196:Y199)</f>
        <v>0</v>
      </c>
      <c r="AB200" s="1539"/>
      <c r="AC200" s="1539"/>
      <c r="AK200" s="1448"/>
      <c r="AL200" s="1449"/>
      <c r="AM200" s="1511"/>
      <c r="AN200" s="1453"/>
      <c r="AO200" s="1453"/>
      <c r="AP200" s="1451"/>
      <c r="AQ200" s="1452"/>
      <c r="AR200" s="1453"/>
      <c r="AS200" s="1453"/>
      <c r="AT200" s="1453"/>
    </row>
    <row r="201" spans="1:46" ht="14.25" customHeight="1">
      <c r="B201" s="1497"/>
      <c r="C201" s="1467"/>
      <c r="D201" s="1467"/>
      <c r="E201" s="1467"/>
      <c r="F201" s="1467"/>
      <c r="G201" s="1467"/>
      <c r="H201" s="1467"/>
      <c r="I201" s="1467"/>
      <c r="J201" s="1467"/>
      <c r="K201" s="1468" t="s">
        <v>365</v>
      </c>
      <c r="L201" s="1499">
        <f>L192+L200</f>
        <v>519340.7900000001</v>
      </c>
      <c r="M201" s="1499">
        <f>M192+M200</f>
        <v>5147.29</v>
      </c>
      <c r="N201" s="1499">
        <f>N192+N200</f>
        <v>42941.729999999996</v>
      </c>
      <c r="O201" s="1499">
        <f>O192+O200</f>
        <v>479043.00000000006</v>
      </c>
      <c r="P201" s="1499"/>
      <c r="Q201" s="1499"/>
      <c r="R201" s="1499"/>
      <c r="S201" s="1499"/>
      <c r="T201" s="1499">
        <f t="shared" ref="T201:AD201" si="38">T192+T200</f>
        <v>0</v>
      </c>
      <c r="U201" s="1499">
        <f t="shared" si="38"/>
        <v>0</v>
      </c>
      <c r="V201" s="1499">
        <f t="shared" si="38"/>
        <v>1036137.42</v>
      </c>
      <c r="W201" s="1499">
        <f t="shared" si="38"/>
        <v>28005302.532567348</v>
      </c>
      <c r="X201" s="1499">
        <f t="shared" si="38"/>
        <v>0</v>
      </c>
      <c r="Y201" s="1499">
        <f t="shared" si="38"/>
        <v>4087110.9675427144</v>
      </c>
      <c r="Z201" s="1499">
        <f t="shared" si="38"/>
        <v>0</v>
      </c>
      <c r="AA201" s="1499">
        <f t="shared" si="38"/>
        <v>0</v>
      </c>
      <c r="AB201" s="1499">
        <f t="shared" si="38"/>
        <v>0</v>
      </c>
      <c r="AC201" s="1499">
        <f t="shared" si="38"/>
        <v>0</v>
      </c>
      <c r="AD201" s="1499">
        <f t="shared" si="38"/>
        <v>0</v>
      </c>
      <c r="AK201" s="1448"/>
      <c r="AL201" s="1449"/>
      <c r="AM201" s="1511"/>
      <c r="AN201" s="1453"/>
      <c r="AO201" s="1453"/>
      <c r="AP201" s="1451"/>
      <c r="AQ201" s="1452"/>
      <c r="AR201" s="1453"/>
      <c r="AS201" s="1453"/>
      <c r="AT201" s="1453"/>
    </row>
    <row r="202" spans="1:46" ht="14.25" customHeight="1">
      <c r="B202" s="1497"/>
      <c r="C202" s="1467"/>
      <c r="D202" s="1467"/>
      <c r="E202" s="1467"/>
      <c r="F202" s="1467"/>
      <c r="G202" s="1467"/>
      <c r="H202" s="1467"/>
      <c r="I202" s="1467"/>
      <c r="J202" s="1467"/>
      <c r="K202" s="1468"/>
      <c r="L202" s="1499"/>
      <c r="M202" s="1499"/>
      <c r="N202" s="1499"/>
      <c r="O202" s="1499"/>
      <c r="P202" s="1499"/>
      <c r="Q202" s="1499"/>
      <c r="R202" s="1499"/>
      <c r="S202" s="1499"/>
      <c r="T202" s="1499"/>
      <c r="U202" s="1499"/>
      <c r="V202" s="1499"/>
      <c r="W202" s="1499"/>
      <c r="X202" s="1499"/>
      <c r="Y202" s="1499"/>
      <c r="Z202" s="1499"/>
      <c r="AA202" s="1499"/>
      <c r="AB202" s="1499"/>
      <c r="AC202" s="1499"/>
      <c r="AD202" s="1499"/>
      <c r="AK202" s="1448"/>
      <c r="AL202" s="1449"/>
      <c r="AM202" s="1511"/>
      <c r="AN202" s="1453"/>
      <c r="AO202" s="1453"/>
      <c r="AP202" s="1451"/>
      <c r="AQ202" s="1452"/>
      <c r="AR202" s="1453"/>
      <c r="AS202" s="1453"/>
      <c r="AT202" s="1453"/>
    </row>
    <row r="203" spans="1:46" s="1416" customFormat="1" ht="14.25" customHeight="1">
      <c r="B203" s="1415"/>
      <c r="K203" s="1499"/>
      <c r="L203" s="1499"/>
      <c r="M203" s="1499"/>
      <c r="N203" s="1499"/>
      <c r="O203" s="1499"/>
      <c r="P203" s="1499"/>
      <c r="Q203" s="1499"/>
      <c r="R203" s="1540"/>
      <c r="V203" s="1368"/>
      <c r="W203" s="1368"/>
      <c r="X203" s="1368"/>
      <c r="Y203" s="1368"/>
      <c r="AB203" s="1474"/>
      <c r="AC203" s="1474"/>
      <c r="AK203" s="1448"/>
      <c r="AL203" s="1449"/>
      <c r="AM203" s="1511"/>
      <c r="AN203" s="1453"/>
      <c r="AO203" s="1453"/>
      <c r="AP203" s="1451"/>
      <c r="AQ203" s="1452"/>
      <c r="AR203" s="1453"/>
      <c r="AS203" s="1453"/>
      <c r="AT203" s="1453"/>
    </row>
    <row r="204" spans="1:46" ht="11.25">
      <c r="A204" s="1423"/>
      <c r="B204" s="1423"/>
      <c r="C204" s="1423"/>
      <c r="D204" s="1423"/>
      <c r="E204" s="1423"/>
      <c r="F204" s="1423"/>
      <c r="G204" s="1423"/>
      <c r="H204" s="1423"/>
      <c r="I204" s="1423"/>
      <c r="J204" s="1423"/>
      <c r="K204" s="1423"/>
      <c r="L204" s="1423"/>
      <c r="M204" s="1423"/>
      <c r="N204" s="1423"/>
      <c r="O204" s="1423"/>
      <c r="AB204" s="1422"/>
      <c r="AC204" s="1422"/>
      <c r="AF204" s="1423">
        <f>SUM(AE209:AE214)</f>
        <v>994150.5</v>
      </c>
      <c r="AK204" s="1448"/>
      <c r="AL204" s="1449"/>
      <c r="AM204" s="1511"/>
      <c r="AN204" s="1453"/>
      <c r="AO204" s="1453"/>
      <c r="AP204" s="1451"/>
      <c r="AQ204" s="1452"/>
      <c r="AR204" s="1453"/>
      <c r="AS204" s="1453"/>
      <c r="AT204" s="1453"/>
    </row>
    <row r="205" spans="1:46" ht="11.25">
      <c r="A205" s="1423"/>
      <c r="B205" s="1423"/>
      <c r="C205" s="1423"/>
      <c r="D205" s="1423"/>
      <c r="E205" s="1423"/>
      <c r="F205" s="1423"/>
      <c r="G205" s="1423"/>
      <c r="H205" s="1423"/>
      <c r="I205" s="1423"/>
      <c r="J205" s="1423"/>
      <c r="K205" s="1423"/>
      <c r="L205" s="1423"/>
      <c r="M205" s="1423"/>
      <c r="N205" s="1423"/>
      <c r="O205" s="1423"/>
      <c r="AB205" s="1422"/>
      <c r="AC205" s="1422"/>
      <c r="AK205" s="1448"/>
      <c r="AL205" s="1449"/>
      <c r="AM205" s="1511"/>
      <c r="AN205" s="1453"/>
      <c r="AO205" s="1453"/>
      <c r="AP205" s="1451"/>
      <c r="AQ205" s="1452"/>
      <c r="AR205" s="1453"/>
      <c r="AS205" s="1453"/>
      <c r="AT205" s="1453"/>
    </row>
    <row r="206" spans="1:46" ht="11.25">
      <c r="A206" s="1971" t="s">
        <v>467</v>
      </c>
      <c r="B206" s="1972"/>
      <c r="C206" s="1972"/>
      <c r="D206" s="1972"/>
      <c r="E206" s="1972"/>
      <c r="F206" s="1972"/>
      <c r="G206" s="1972"/>
      <c r="H206" s="1972"/>
      <c r="I206" s="1972"/>
      <c r="J206" s="1972"/>
      <c r="K206" s="1972"/>
      <c r="L206" s="1972"/>
      <c r="M206" s="1972"/>
      <c r="N206" s="1972"/>
      <c r="O206" s="1973"/>
      <c r="P206" s="1417"/>
      <c r="Q206" s="1418"/>
      <c r="R206" s="1419"/>
      <c r="S206" s="1420"/>
      <c r="T206" s="1421"/>
      <c r="U206" s="1419"/>
      <c r="V206" s="1375"/>
      <c r="W206" s="1376"/>
      <c r="X206" s="1376"/>
      <c r="Y206" s="1377"/>
      <c r="AB206" s="1422"/>
      <c r="AC206" s="1422"/>
      <c r="AG206" s="1423">
        <v>301086.75</v>
      </c>
      <c r="AK206" s="1448"/>
      <c r="AL206" s="1449"/>
      <c r="AM206" s="1511"/>
      <c r="AN206" s="1453"/>
      <c r="AO206" s="1453"/>
      <c r="AP206" s="1451"/>
      <c r="AQ206" s="1452"/>
      <c r="AR206" s="1453"/>
      <c r="AS206" s="1453"/>
      <c r="AT206" s="1453"/>
    </row>
    <row r="207" spans="1:46" ht="11.25">
      <c r="A207" s="1424"/>
      <c r="B207" s="1425"/>
      <c r="C207" s="1426" t="s">
        <v>256</v>
      </c>
      <c r="D207" s="1426" t="s">
        <v>257</v>
      </c>
      <c r="E207" s="1427" t="s">
        <v>258</v>
      </c>
      <c r="F207" s="1427" t="s">
        <v>259</v>
      </c>
      <c r="G207" s="1427" t="s">
        <v>260</v>
      </c>
      <c r="H207" s="1427" t="s">
        <v>261</v>
      </c>
      <c r="I207" s="1427" t="s">
        <v>262</v>
      </c>
      <c r="J207" s="1427" t="s">
        <v>263</v>
      </c>
      <c r="K207" s="1974" t="s">
        <v>264</v>
      </c>
      <c r="L207" s="1975"/>
      <c r="M207" s="1975"/>
      <c r="N207" s="1975" t="s">
        <v>265</v>
      </c>
      <c r="O207" s="1976"/>
      <c r="P207" s="1428"/>
      <c r="Q207" s="1429"/>
      <c r="R207" s="1430" t="s">
        <v>266</v>
      </c>
      <c r="S207" s="1430" t="s">
        <v>267</v>
      </c>
      <c r="T207" s="1430"/>
      <c r="U207" s="1430"/>
      <c r="V207" s="1977" t="s">
        <v>268</v>
      </c>
      <c r="W207" s="1978"/>
      <c r="X207" s="1978"/>
      <c r="Y207" s="1979"/>
      <c r="AB207" s="1422"/>
      <c r="AC207" s="1422"/>
      <c r="AG207" s="1423"/>
      <c r="AK207" s="1448"/>
      <c r="AL207" s="1449"/>
      <c r="AM207" s="1511"/>
      <c r="AN207" s="1453"/>
      <c r="AO207" s="1453"/>
      <c r="AP207" s="1451"/>
      <c r="AQ207" s="1452"/>
      <c r="AR207" s="1453"/>
      <c r="AS207" s="1453"/>
      <c r="AT207" s="1453"/>
    </row>
    <row r="208" spans="1:46" ht="14.25" customHeight="1">
      <c r="A208" s="1436" t="s">
        <v>269</v>
      </c>
      <c r="B208" s="1430" t="s">
        <v>270</v>
      </c>
      <c r="C208" s="1436" t="s">
        <v>271</v>
      </c>
      <c r="D208" s="1436"/>
      <c r="E208" s="1436"/>
      <c r="F208" s="1436"/>
      <c r="G208" s="1436"/>
      <c r="H208" s="1436"/>
      <c r="I208" s="1436"/>
      <c r="J208" s="1436"/>
      <c r="K208" s="1436" t="s">
        <v>272</v>
      </c>
      <c r="L208" s="1429" t="s">
        <v>273</v>
      </c>
      <c r="M208" s="1430" t="s">
        <v>274</v>
      </c>
      <c r="N208" s="1430" t="s">
        <v>275</v>
      </c>
      <c r="O208" s="1430" t="s">
        <v>276</v>
      </c>
      <c r="P208" s="1437" t="s">
        <v>277</v>
      </c>
      <c r="Q208" s="1437" t="s">
        <v>278</v>
      </c>
      <c r="R208" s="1438" t="s">
        <v>279</v>
      </c>
      <c r="S208" s="1438" t="s">
        <v>280</v>
      </c>
      <c r="T208" s="1438" t="s">
        <v>281</v>
      </c>
      <c r="U208" s="1438" t="s">
        <v>282</v>
      </c>
      <c r="V208" s="1378" t="s">
        <v>283</v>
      </c>
      <c r="W208" s="1378" t="s">
        <v>284</v>
      </c>
      <c r="X208" s="1378" t="s">
        <v>285</v>
      </c>
      <c r="Y208" s="1378" t="s">
        <v>286</v>
      </c>
      <c r="AB208" s="1422"/>
      <c r="AC208" s="1422"/>
      <c r="AF208" s="1432">
        <v>1</v>
      </c>
      <c r="AG208" s="1423"/>
      <c r="AK208" s="1448"/>
      <c r="AL208" s="1449"/>
      <c r="AM208" s="1511"/>
      <c r="AN208" s="1453"/>
      <c r="AO208" s="1453"/>
      <c r="AP208" s="1451"/>
      <c r="AQ208" s="1452"/>
      <c r="AR208" s="1453"/>
      <c r="AS208" s="1453"/>
      <c r="AT208" s="1453"/>
    </row>
    <row r="209" spans="1:46" ht="16.5" customHeight="1">
      <c r="A209" s="1439" t="s">
        <v>468</v>
      </c>
      <c r="B209" s="1440">
        <v>54</v>
      </c>
      <c r="C209" s="1523" t="s">
        <v>385</v>
      </c>
      <c r="D209" s="1439"/>
      <c r="E209" s="1439"/>
      <c r="F209" s="1439"/>
      <c r="G209" s="1439"/>
      <c r="H209" s="1439"/>
      <c r="I209" s="1439"/>
      <c r="J209" s="1439"/>
      <c r="K209" s="1442" t="s">
        <v>467</v>
      </c>
      <c r="L209" s="1442">
        <f>74.75*10000</f>
        <v>747500</v>
      </c>
      <c r="M209" s="1485"/>
      <c r="N209" s="1442"/>
      <c r="O209" s="1443">
        <f>+L209</f>
        <v>747500</v>
      </c>
      <c r="P209" s="1442"/>
      <c r="Q209" s="1442"/>
      <c r="R209" s="1358">
        <f>+S209*L209</f>
        <v>4485000</v>
      </c>
      <c r="S209" s="1358">
        <v>6</v>
      </c>
      <c r="T209" s="1439" t="s">
        <v>344</v>
      </c>
      <c r="U209" s="1456">
        <v>38108</v>
      </c>
      <c r="V209" s="1358"/>
      <c r="W209" s="1358">
        <f>+R209+83107.33+107813.18+89171.99+199352.84</f>
        <v>4964445.34</v>
      </c>
      <c r="X209" s="1358"/>
      <c r="Y209" s="1358"/>
      <c r="Z209" s="1414" t="s">
        <v>345</v>
      </c>
      <c r="AB209" s="1422" t="s">
        <v>469</v>
      </c>
      <c r="AC209" s="1422"/>
      <c r="AE209" s="1423">
        <f>O209</f>
        <v>747500</v>
      </c>
      <c r="AF209" s="1414">
        <f>(AE209*AF208/AF204)</f>
        <v>0.75189822868871459</v>
      </c>
      <c r="AG209" s="1423">
        <f t="shared" ref="AG209:AG214" si="39">$AG$206*AF209</f>
        <v>226386.59400664183</v>
      </c>
      <c r="AJ209" s="1423"/>
      <c r="AK209" s="1448" t="s">
        <v>6100</v>
      </c>
      <c r="AL209" s="1449" t="s">
        <v>5513</v>
      </c>
      <c r="AM209" s="1511" t="s">
        <v>5514</v>
      </c>
      <c r="AN209" s="1453" t="s">
        <v>5515</v>
      </c>
      <c r="AO209" s="1453" t="s">
        <v>5515</v>
      </c>
      <c r="AP209" s="1451" t="s">
        <v>5393</v>
      </c>
      <c r="AQ209" s="1452">
        <v>747500</v>
      </c>
      <c r="AR209" s="1453" t="s">
        <v>5516</v>
      </c>
      <c r="AS209" s="1453" t="s">
        <v>5517</v>
      </c>
      <c r="AT209" s="1453" t="s">
        <v>5381</v>
      </c>
    </row>
    <row r="210" spans="1:46" ht="11.25" customHeight="1">
      <c r="A210" s="1439"/>
      <c r="B210" s="1440"/>
      <c r="C210" s="1439" t="s">
        <v>473</v>
      </c>
      <c r="D210" s="1439"/>
      <c r="E210" s="1439"/>
      <c r="F210" s="1439"/>
      <c r="G210" s="1439"/>
      <c r="H210" s="1439"/>
      <c r="I210" s="1439"/>
      <c r="J210" s="1439"/>
      <c r="K210" s="1442" t="s">
        <v>467</v>
      </c>
      <c r="L210" s="1439"/>
      <c r="M210" s="1442">
        <f>6999.63+7409.61</f>
        <v>14409.24</v>
      </c>
      <c r="N210" s="1442">
        <f>+M210</f>
        <v>14409.24</v>
      </c>
      <c r="O210" s="1442"/>
      <c r="P210" s="1442"/>
      <c r="Q210" s="1442"/>
      <c r="R210" s="1358">
        <f>+S210*M210</f>
        <v>652738.57199999993</v>
      </c>
      <c r="S210" s="1358">
        <v>45.3</v>
      </c>
      <c r="T210" s="1439" t="s">
        <v>474</v>
      </c>
      <c r="U210" s="1439"/>
      <c r="V210" s="1358">
        <f>+R210+40368.04+12824.09+14833.7+5748.94+2213.8+2078.27+1718.93+3842.84</f>
        <v>736367.18199999991</v>
      </c>
      <c r="W210" s="1358"/>
      <c r="X210" s="1358"/>
      <c r="Y210" s="1358"/>
      <c r="Z210" s="1414" t="s">
        <v>303</v>
      </c>
      <c r="AB210" s="1422"/>
      <c r="AC210" s="1422"/>
      <c r="AE210" s="1423">
        <f>N210</f>
        <v>14409.24</v>
      </c>
      <c r="AF210" s="1414">
        <f>(AE210*AF208/AF204)</f>
        <v>1.4494022786288394E-2</v>
      </c>
      <c r="AG210" s="1423">
        <f t="shared" si="39"/>
        <v>4363.9582151495169</v>
      </c>
      <c r="AJ210" s="1423"/>
      <c r="AK210" s="1448" t="s">
        <v>6101</v>
      </c>
      <c r="AL210" s="1449" t="s">
        <v>376</v>
      </c>
      <c r="AM210" s="1449" t="s">
        <v>376</v>
      </c>
      <c r="AN210" s="1450" t="s">
        <v>5518</v>
      </c>
      <c r="AO210" s="1450" t="s">
        <v>5518</v>
      </c>
      <c r="AP210" s="1451" t="s">
        <v>5365</v>
      </c>
      <c r="AQ210" s="1452">
        <v>14409.24</v>
      </c>
      <c r="AR210" s="1453" t="s">
        <v>5519</v>
      </c>
      <c r="AS210" s="1453">
        <v>327</v>
      </c>
      <c r="AT210" s="1451" t="s">
        <v>5381</v>
      </c>
    </row>
    <row r="211" spans="1:46" ht="12" customHeight="1">
      <c r="A211" s="1439"/>
      <c r="B211" s="1440"/>
      <c r="C211" s="1439" t="s">
        <v>475</v>
      </c>
      <c r="D211" s="1439"/>
      <c r="E211" s="1439"/>
      <c r="F211" s="1439"/>
      <c r="G211" s="1439"/>
      <c r="H211" s="1439"/>
      <c r="I211" s="1439"/>
      <c r="J211" s="1439"/>
      <c r="K211" s="1442" t="s">
        <v>467</v>
      </c>
      <c r="L211" s="1439"/>
      <c r="M211" s="1442">
        <v>6567.83</v>
      </c>
      <c r="N211" s="1442">
        <f>+M211</f>
        <v>6567.83</v>
      </c>
      <c r="O211" s="1442"/>
      <c r="P211" s="1442"/>
      <c r="Q211" s="1442"/>
      <c r="R211" s="1358">
        <f>+S211*M211</f>
        <v>297522.69899999996</v>
      </c>
      <c r="S211" s="1358">
        <v>45.3</v>
      </c>
      <c r="T211" s="1439" t="s">
        <v>474</v>
      </c>
      <c r="U211" s="1439"/>
      <c r="V211" s="1358">
        <f>+R211+18400.03+5845.31+6761.31+2620.39+1009.04+947.29+783.5+1751.59</f>
        <v>335641.15899999993</v>
      </c>
      <c r="W211" s="1358"/>
      <c r="X211" s="1358"/>
      <c r="Y211" s="1358"/>
      <c r="Z211" s="1414" t="s">
        <v>303</v>
      </c>
      <c r="AB211" s="1422"/>
      <c r="AC211" s="1422"/>
      <c r="AE211" s="1423">
        <f>N211</f>
        <v>6567.83</v>
      </c>
      <c r="AF211" s="1414">
        <f>(AE211*AF208/AF204)</f>
        <v>6.6064745730148502E-3</v>
      </c>
      <c r="AG211" s="1423">
        <f t="shared" si="39"/>
        <v>1989.1219581466789</v>
      </c>
      <c r="AJ211" s="1423"/>
      <c r="AK211" s="1448" t="s">
        <v>6102</v>
      </c>
      <c r="AL211" s="1449" t="s">
        <v>376</v>
      </c>
      <c r="AM211" s="1449" t="s">
        <v>376</v>
      </c>
      <c r="AN211" s="1453" t="s">
        <v>5518</v>
      </c>
      <c r="AO211" s="1453" t="s">
        <v>5518</v>
      </c>
      <c r="AP211" s="1451" t="s">
        <v>5365</v>
      </c>
      <c r="AQ211" s="1452">
        <v>6567.83</v>
      </c>
      <c r="AR211" s="1453" t="s">
        <v>5519</v>
      </c>
      <c r="AS211" s="1453">
        <v>327</v>
      </c>
      <c r="AT211" s="1451" t="s">
        <v>5381</v>
      </c>
    </row>
    <row r="212" spans="1:46" ht="11.25" customHeight="1">
      <c r="A212" s="1439"/>
      <c r="B212" s="1440"/>
      <c r="C212" s="1439" t="s">
        <v>385</v>
      </c>
      <c r="D212" s="1439"/>
      <c r="E212" s="1439"/>
      <c r="F212" s="1439"/>
      <c r="G212" s="1439"/>
      <c r="H212" s="1439"/>
      <c r="I212" s="1439"/>
      <c r="J212" s="1439"/>
      <c r="K212" s="1442" t="s">
        <v>467</v>
      </c>
      <c r="L212" s="1442">
        <v>103386.25</v>
      </c>
      <c r="M212" s="1364"/>
      <c r="N212" s="1442">
        <f>+L212</f>
        <v>103386.25</v>
      </c>
      <c r="O212" s="1442"/>
      <c r="P212" s="1442">
        <v>4683397.58</v>
      </c>
      <c r="Q212" s="1442">
        <f>+L212</f>
        <v>103386.25</v>
      </c>
      <c r="R212" s="1442">
        <f>+P212</f>
        <v>4683397.58</v>
      </c>
      <c r="S212" s="1444">
        <f>+P212/Q212</f>
        <v>45.300004400972085</v>
      </c>
      <c r="T212" s="1445" t="s">
        <v>476</v>
      </c>
      <c r="U212" s="1446">
        <v>38481</v>
      </c>
      <c r="V212" s="1358"/>
      <c r="W212" s="1358"/>
      <c r="X212" s="1358">
        <f>+R212+2368343.25+38714.5+289640.52+92012.78+106431.84+41248.31+15884.04+1805928.52+78646.86+24896.66+14911.81+313759.47+12333.32+27572.36</f>
        <v>9913721.8200000003</v>
      </c>
      <c r="Y212" s="1358"/>
      <c r="Z212" s="1414" t="s">
        <v>292</v>
      </c>
      <c r="AA212" s="1414" t="s">
        <v>477</v>
      </c>
      <c r="AB212" s="1422"/>
      <c r="AC212" s="1422"/>
      <c r="AE212" s="1423">
        <f>N212</f>
        <v>103386.25</v>
      </c>
      <c r="AF212" s="1414">
        <f>AE212*AF208/AF204</f>
        <v>0.10399456621507508</v>
      </c>
      <c r="AG212" s="1423">
        <f t="shared" si="39"/>
        <v>31311.385959356758</v>
      </c>
      <c r="AJ212" s="1423"/>
      <c r="AK212" s="1448" t="s">
        <v>6103</v>
      </c>
      <c r="AL212" s="1449" t="s">
        <v>376</v>
      </c>
      <c r="AM212" s="1449" t="s">
        <v>376</v>
      </c>
      <c r="AN212" s="1453" t="s">
        <v>5518</v>
      </c>
      <c r="AO212" s="1453" t="s">
        <v>5518</v>
      </c>
      <c r="AP212" s="1451" t="s">
        <v>5520</v>
      </c>
      <c r="AQ212" s="1452">
        <v>103386.25</v>
      </c>
      <c r="AR212" s="1453" t="s">
        <v>5521</v>
      </c>
      <c r="AS212" s="1453">
        <v>1334</v>
      </c>
      <c r="AT212" s="1451" t="s">
        <v>5381</v>
      </c>
    </row>
    <row r="213" spans="1:46" ht="12" customHeight="1">
      <c r="A213" s="1439"/>
      <c r="B213" s="1440"/>
      <c r="C213" s="1439" t="s">
        <v>478</v>
      </c>
      <c r="D213" s="1439"/>
      <c r="E213" s="1439"/>
      <c r="F213" s="1439"/>
      <c r="G213" s="1439"/>
      <c r="H213" s="1439"/>
      <c r="I213" s="1439"/>
      <c r="J213" s="1439"/>
      <c r="K213" s="1442" t="s">
        <v>467</v>
      </c>
      <c r="L213" s="1439"/>
      <c r="M213" s="1442">
        <v>16963</v>
      </c>
      <c r="N213" s="1442">
        <f>+M213</f>
        <v>16963</v>
      </c>
      <c r="O213" s="1442"/>
      <c r="P213" s="1442"/>
      <c r="Q213" s="1442"/>
      <c r="R213" s="1358">
        <f>+S213*M213</f>
        <v>768423.89999999991</v>
      </c>
      <c r="S213" s="1358">
        <v>45.3</v>
      </c>
      <c r="T213" s="1439" t="s">
        <v>474</v>
      </c>
      <c r="U213" s="1439"/>
      <c r="V213" s="1358"/>
      <c r="W213" s="1358"/>
      <c r="X213" s="1358">
        <f>+R213+47522.49+15096.91+17462.7+6767.78+2606.16+296305.99+12903.91+4084.9+2446.64+51479.78+2023.58+4523.91</f>
        <v>1231648.6499999997</v>
      </c>
      <c r="Y213" s="1358"/>
      <c r="Z213" s="1414" t="s">
        <v>303</v>
      </c>
      <c r="AB213" s="1422"/>
      <c r="AC213" s="1422"/>
      <c r="AE213" s="1423">
        <f>N213</f>
        <v>16963</v>
      </c>
      <c r="AF213" s="1414">
        <f>(AE213*AF208/AF204)</f>
        <v>1.7062808900664438E-2</v>
      </c>
      <c r="AG213" s="1423">
        <f t="shared" si="39"/>
        <v>5137.3856777721285</v>
      </c>
      <c r="AJ213" s="1423"/>
      <c r="AK213" s="1448" t="s">
        <v>6104</v>
      </c>
      <c r="AL213" s="1449" t="s">
        <v>376</v>
      </c>
      <c r="AM213" s="1449" t="s">
        <v>376</v>
      </c>
      <c r="AN213" s="1453" t="s">
        <v>5518</v>
      </c>
      <c r="AO213" s="1453" t="s">
        <v>5518</v>
      </c>
      <c r="AP213" s="1451" t="s">
        <v>5520</v>
      </c>
      <c r="AQ213" s="1452">
        <v>16963</v>
      </c>
      <c r="AR213" s="1453" t="s">
        <v>5519</v>
      </c>
      <c r="AS213" s="1453">
        <v>327</v>
      </c>
      <c r="AT213" s="1451" t="s">
        <v>5381</v>
      </c>
    </row>
    <row r="214" spans="1:46" ht="10.5" customHeight="1">
      <c r="A214" s="1439"/>
      <c r="B214" s="1440"/>
      <c r="C214" s="1439" t="s">
        <v>479</v>
      </c>
      <c r="D214" s="1439"/>
      <c r="E214" s="1439"/>
      <c r="F214" s="1439"/>
      <c r="G214" s="1439"/>
      <c r="H214" s="1439"/>
      <c r="I214" s="1439"/>
      <c r="J214" s="1439"/>
      <c r="K214" s="1442" t="s">
        <v>467</v>
      </c>
      <c r="L214" s="1442">
        <v>105324.18</v>
      </c>
      <c r="M214" s="1364"/>
      <c r="N214" s="1442">
        <f>+L214</f>
        <v>105324.18</v>
      </c>
      <c r="O214" s="1442"/>
      <c r="P214" s="1442">
        <v>5266209</v>
      </c>
      <c r="Q214" s="1442">
        <f>+L214</f>
        <v>105324.18</v>
      </c>
      <c r="R214" s="1442">
        <f>+P214</f>
        <v>5266209</v>
      </c>
      <c r="S214" s="1444">
        <f>+P214/Q214</f>
        <v>50</v>
      </c>
      <c r="T214" s="1445" t="s">
        <v>476</v>
      </c>
      <c r="U214" s="1446">
        <v>38481</v>
      </c>
      <c r="V214" s="1358"/>
      <c r="W214" s="1358"/>
      <c r="X214" s="1358">
        <f>+R214+2412736.8+39440.18+295069.71+93737.52+108426.86+42021.5+16181.78+1839779.85+80121.07+25363.34+15191.33+319640.75+12564.5+28089.22</f>
        <v>10594573.41</v>
      </c>
      <c r="Y214" s="1358"/>
      <c r="Z214" s="1414" t="s">
        <v>292</v>
      </c>
      <c r="AA214" s="1414" t="s">
        <v>480</v>
      </c>
      <c r="AB214" s="1422"/>
      <c r="AC214" s="1422"/>
      <c r="AE214" s="1423">
        <f>N214</f>
        <v>105324.18</v>
      </c>
      <c r="AF214" s="1414">
        <f>(AE214*AF208/AF204)</f>
        <v>0.1059438988362426</v>
      </c>
      <c r="AG214" s="1423">
        <f t="shared" si="39"/>
        <v>31898.304182933065</v>
      </c>
      <c r="AJ214" s="1423"/>
      <c r="AK214" s="1448" t="s">
        <v>6103</v>
      </c>
      <c r="AL214" s="1449" t="s">
        <v>376</v>
      </c>
      <c r="AM214" s="1449" t="s">
        <v>376</v>
      </c>
      <c r="AN214" s="1453" t="s">
        <v>5518</v>
      </c>
      <c r="AO214" s="1453" t="s">
        <v>5518</v>
      </c>
      <c r="AP214" s="1451" t="s">
        <v>5520</v>
      </c>
      <c r="AQ214" s="1452">
        <v>105324.18</v>
      </c>
      <c r="AR214" s="1453" t="s">
        <v>5519</v>
      </c>
      <c r="AS214" s="1453">
        <v>327</v>
      </c>
      <c r="AT214" s="1451" t="s">
        <v>5381</v>
      </c>
    </row>
    <row r="215" spans="1:46" ht="10.5" customHeight="1">
      <c r="A215" s="1439"/>
      <c r="B215" s="1440"/>
      <c r="C215" s="1439"/>
      <c r="D215" s="1439"/>
      <c r="E215" s="1439"/>
      <c r="F215" s="1439"/>
      <c r="G215" s="1439"/>
      <c r="H215" s="1439"/>
      <c r="I215" s="1439"/>
      <c r="J215" s="1439"/>
      <c r="K215" s="1442"/>
      <c r="L215" s="1442"/>
      <c r="M215" s="1364"/>
      <c r="N215" s="1442"/>
      <c r="O215" s="1442"/>
      <c r="P215" s="1442"/>
      <c r="Q215" s="1442"/>
      <c r="R215" s="1442"/>
      <c r="S215" s="1444"/>
      <c r="T215" s="1445"/>
      <c r="U215" s="1446"/>
      <c r="V215" s="1358"/>
      <c r="W215" s="1358"/>
      <c r="X215" s="1358"/>
      <c r="Y215" s="1358"/>
      <c r="AB215" s="1422"/>
      <c r="AC215" s="1422"/>
      <c r="AE215" s="1423"/>
      <c r="AG215" s="1423"/>
      <c r="AK215" s="1448"/>
      <c r="AL215" s="1449"/>
      <c r="AM215" s="1449"/>
      <c r="AN215" s="1453"/>
      <c r="AO215" s="1453"/>
      <c r="AP215" s="1451"/>
      <c r="AQ215" s="1452"/>
      <c r="AR215" s="1453"/>
      <c r="AS215" s="1453"/>
      <c r="AT215" s="1451"/>
    </row>
    <row r="216" spans="1:46" ht="15" customHeight="1">
      <c r="A216" s="1439"/>
      <c r="B216" s="1440"/>
      <c r="C216" s="1508" t="s">
        <v>467</v>
      </c>
      <c r="D216" s="1508"/>
      <c r="E216" s="1508"/>
      <c r="F216" s="1508"/>
      <c r="G216" s="1508"/>
      <c r="H216" s="1508"/>
      <c r="I216" s="1508"/>
      <c r="J216" s="1508"/>
      <c r="K216" s="1472" t="s">
        <v>98</v>
      </c>
      <c r="L216" s="1455">
        <f>SUM(L209:L214)</f>
        <v>956210.42999999993</v>
      </c>
      <c r="M216" s="1455">
        <f>SUM(M209:M214)</f>
        <v>37940.07</v>
      </c>
      <c r="N216" s="1455">
        <f t="shared" ref="N216:Y216" si="40">SUM(N209:N215)</f>
        <v>246650.5</v>
      </c>
      <c r="O216" s="1455">
        <f t="shared" si="40"/>
        <v>747500</v>
      </c>
      <c r="P216" s="1455">
        <f t="shared" si="40"/>
        <v>9949606.5800000001</v>
      </c>
      <c r="Q216" s="1455">
        <f t="shared" si="40"/>
        <v>208710.43</v>
      </c>
      <c r="R216" s="1455">
        <f t="shared" si="40"/>
        <v>16153291.751</v>
      </c>
      <c r="S216" s="1455">
        <f t="shared" si="40"/>
        <v>237.20000440097209</v>
      </c>
      <c r="T216" s="1455">
        <f t="shared" si="40"/>
        <v>0</v>
      </c>
      <c r="U216" s="1455">
        <f t="shared" si="40"/>
        <v>115070</v>
      </c>
      <c r="V216" s="1455">
        <f t="shared" si="40"/>
        <v>1072008.3409999998</v>
      </c>
      <c r="W216" s="1455">
        <f t="shared" si="40"/>
        <v>4964445.34</v>
      </c>
      <c r="X216" s="1455">
        <f t="shared" si="40"/>
        <v>21739943.880000003</v>
      </c>
      <c r="Y216" s="1455">
        <f t="shared" si="40"/>
        <v>0</v>
      </c>
      <c r="AB216" s="1422"/>
      <c r="AC216" s="1422"/>
      <c r="AE216" s="1423"/>
      <c r="AK216" s="1448"/>
      <c r="AL216" s="1449"/>
      <c r="AM216" s="1449"/>
      <c r="AN216" s="1453"/>
      <c r="AO216" s="1453"/>
      <c r="AP216" s="1451"/>
      <c r="AQ216" s="1452"/>
      <c r="AR216" s="1453"/>
      <c r="AS216" s="1453"/>
      <c r="AT216" s="1451"/>
    </row>
    <row r="217" spans="1:46" ht="11.25">
      <c r="A217" s="1423"/>
      <c r="B217" s="1423"/>
      <c r="C217" s="1423"/>
      <c r="D217" s="1423"/>
      <c r="E217" s="1423"/>
      <c r="F217" s="1423"/>
      <c r="G217" s="1423"/>
      <c r="H217" s="1423"/>
      <c r="I217" s="1423"/>
      <c r="J217" s="1423"/>
      <c r="K217" s="1467" t="s">
        <v>365</v>
      </c>
      <c r="L217" s="1499">
        <f>L216</f>
        <v>956210.42999999993</v>
      </c>
      <c r="M217" s="1499">
        <f>M216</f>
        <v>37940.07</v>
      </c>
      <c r="N217" s="1499">
        <f>N216</f>
        <v>246650.5</v>
      </c>
      <c r="O217" s="1499">
        <f>O216</f>
        <v>747500</v>
      </c>
      <c r="V217" s="1391">
        <f>V216</f>
        <v>1072008.3409999998</v>
      </c>
      <c r="W217" s="1391">
        <f>W216</f>
        <v>4964445.34</v>
      </c>
      <c r="X217" s="1391">
        <f>X216</f>
        <v>21739943.880000003</v>
      </c>
      <c r="Y217" s="1391">
        <f>Y216</f>
        <v>0</v>
      </c>
      <c r="AB217" s="1422"/>
      <c r="AC217" s="1422"/>
      <c r="AK217" s="1448"/>
      <c r="AL217" s="1449"/>
      <c r="AM217" s="1449"/>
      <c r="AN217" s="1453"/>
      <c r="AO217" s="1453"/>
      <c r="AP217" s="1451"/>
      <c r="AQ217" s="1452"/>
      <c r="AR217" s="1453"/>
      <c r="AS217" s="1453"/>
      <c r="AT217" s="1451"/>
    </row>
    <row r="218" spans="1:46" ht="11.25">
      <c r="A218" s="1423"/>
      <c r="B218" s="1423"/>
      <c r="C218" s="1423"/>
      <c r="D218" s="1423"/>
      <c r="E218" s="1423"/>
      <c r="F218" s="1423"/>
      <c r="G218" s="1423"/>
      <c r="H218" s="1423"/>
      <c r="I218" s="1423"/>
      <c r="J218" s="1423"/>
      <c r="K218" s="1423"/>
      <c r="L218" s="1423"/>
      <c r="M218" s="1423"/>
      <c r="N218" s="1423"/>
      <c r="O218" s="1423"/>
      <c r="AB218" s="1422"/>
      <c r="AC218" s="1422"/>
      <c r="AF218" s="1431">
        <f>X217+AG206</f>
        <v>22041030.630000003</v>
      </c>
      <c r="AK218" s="1448"/>
      <c r="AL218" s="1449"/>
      <c r="AM218" s="1449"/>
      <c r="AN218" s="1453"/>
      <c r="AO218" s="1453"/>
      <c r="AP218" s="1451"/>
      <c r="AQ218" s="1452"/>
      <c r="AR218" s="1453"/>
      <c r="AS218" s="1453"/>
      <c r="AT218" s="1451"/>
    </row>
    <row r="219" spans="1:46" ht="11.25">
      <c r="A219" s="1423"/>
      <c r="B219" s="1423"/>
      <c r="C219" s="1423"/>
      <c r="D219" s="1423"/>
      <c r="E219" s="1423"/>
      <c r="F219" s="1423"/>
      <c r="G219" s="1423"/>
      <c r="H219" s="1423"/>
      <c r="I219" s="1423"/>
      <c r="J219" s="1423"/>
      <c r="K219" s="1423"/>
      <c r="L219" s="1423"/>
      <c r="M219" s="1423"/>
      <c r="N219" s="1423"/>
      <c r="O219" s="1423"/>
      <c r="AB219" s="1422"/>
      <c r="AC219" s="1422"/>
      <c r="AK219" s="1448"/>
      <c r="AL219" s="1449"/>
      <c r="AM219" s="1449"/>
      <c r="AN219" s="1453"/>
      <c r="AO219" s="1453"/>
      <c r="AP219" s="1451"/>
      <c r="AQ219" s="1452"/>
      <c r="AR219" s="1453"/>
      <c r="AS219" s="1453"/>
      <c r="AT219" s="1451"/>
    </row>
    <row r="220" spans="1:46" ht="11.25">
      <c r="A220" s="1971" t="s">
        <v>481</v>
      </c>
      <c r="B220" s="1972"/>
      <c r="C220" s="1972"/>
      <c r="D220" s="1972"/>
      <c r="E220" s="1972"/>
      <c r="F220" s="1972"/>
      <c r="G220" s="1972"/>
      <c r="H220" s="1972"/>
      <c r="I220" s="1972"/>
      <c r="J220" s="1972"/>
      <c r="K220" s="1972"/>
      <c r="L220" s="1972"/>
      <c r="M220" s="1972"/>
      <c r="N220" s="1972"/>
      <c r="O220" s="1973"/>
      <c r="P220" s="1417"/>
      <c r="Q220" s="1418"/>
      <c r="R220" s="1419"/>
      <c r="S220" s="1420"/>
      <c r="T220" s="1421"/>
      <c r="U220" s="1419"/>
      <c r="V220" s="1375"/>
      <c r="W220" s="1376"/>
      <c r="X220" s="1376"/>
      <c r="Y220" s="1377"/>
      <c r="AB220" s="1422"/>
      <c r="AC220" s="1422"/>
      <c r="AK220" s="1448"/>
      <c r="AL220" s="1449"/>
      <c r="AM220" s="1449"/>
      <c r="AN220" s="1453"/>
      <c r="AO220" s="1453"/>
      <c r="AP220" s="1451"/>
      <c r="AQ220" s="1452"/>
      <c r="AR220" s="1453"/>
      <c r="AS220" s="1453"/>
      <c r="AT220" s="1451"/>
    </row>
    <row r="221" spans="1:46" ht="11.25">
      <c r="A221" s="1424"/>
      <c r="B221" s="1425"/>
      <c r="C221" s="1426" t="s">
        <v>256</v>
      </c>
      <c r="D221" s="1426" t="s">
        <v>257</v>
      </c>
      <c r="E221" s="1427" t="s">
        <v>258</v>
      </c>
      <c r="F221" s="1427" t="s">
        <v>259</v>
      </c>
      <c r="G221" s="1427" t="s">
        <v>260</v>
      </c>
      <c r="H221" s="1427" t="s">
        <v>261</v>
      </c>
      <c r="I221" s="1427" t="s">
        <v>262</v>
      </c>
      <c r="J221" s="1427" t="s">
        <v>263</v>
      </c>
      <c r="K221" s="1974" t="s">
        <v>264</v>
      </c>
      <c r="L221" s="1975"/>
      <c r="M221" s="1975"/>
      <c r="N221" s="1975" t="s">
        <v>265</v>
      </c>
      <c r="O221" s="1976"/>
      <c r="P221" s="1475"/>
      <c r="Q221" s="1476"/>
      <c r="R221" s="1430" t="s">
        <v>266</v>
      </c>
      <c r="S221" s="1430" t="s">
        <v>267</v>
      </c>
      <c r="T221" s="1430"/>
      <c r="U221" s="1430"/>
      <c r="V221" s="1977" t="s">
        <v>268</v>
      </c>
      <c r="W221" s="1978"/>
      <c r="X221" s="1978"/>
      <c r="Y221" s="1979"/>
      <c r="AB221" s="1422"/>
      <c r="AC221" s="1422"/>
      <c r="AK221" s="1448"/>
      <c r="AL221" s="1449"/>
      <c r="AM221" s="1449"/>
      <c r="AN221" s="1453"/>
      <c r="AO221" s="1453"/>
      <c r="AP221" s="1451"/>
      <c r="AQ221" s="1452"/>
      <c r="AR221" s="1453"/>
      <c r="AS221" s="1453"/>
      <c r="AT221" s="1451"/>
    </row>
    <row r="222" spans="1:46" ht="11.25">
      <c r="A222" s="1436" t="s">
        <v>269</v>
      </c>
      <c r="B222" s="1430" t="s">
        <v>270</v>
      </c>
      <c r="C222" s="1436" t="s">
        <v>271</v>
      </c>
      <c r="D222" s="1436"/>
      <c r="E222" s="1436"/>
      <c r="F222" s="1436"/>
      <c r="G222" s="1436"/>
      <c r="H222" s="1436"/>
      <c r="I222" s="1436"/>
      <c r="J222" s="1436"/>
      <c r="K222" s="1436" t="s">
        <v>272</v>
      </c>
      <c r="L222" s="1429" t="s">
        <v>273</v>
      </c>
      <c r="M222" s="1430" t="s">
        <v>274</v>
      </c>
      <c r="N222" s="1430" t="s">
        <v>275</v>
      </c>
      <c r="O222" s="1430" t="s">
        <v>276</v>
      </c>
      <c r="P222" s="1437" t="s">
        <v>277</v>
      </c>
      <c r="Q222" s="1437" t="s">
        <v>278</v>
      </c>
      <c r="R222" s="1438" t="s">
        <v>279</v>
      </c>
      <c r="S222" s="1438" t="s">
        <v>280</v>
      </c>
      <c r="T222" s="1438" t="s">
        <v>281</v>
      </c>
      <c r="U222" s="1438" t="s">
        <v>282</v>
      </c>
      <c r="V222" s="1378" t="s">
        <v>283</v>
      </c>
      <c r="W222" s="1378" t="s">
        <v>284</v>
      </c>
      <c r="X222" s="1378" t="s">
        <v>285</v>
      </c>
      <c r="Y222" s="1378" t="s">
        <v>286</v>
      </c>
      <c r="AB222" s="1422"/>
      <c r="AC222" s="1422"/>
      <c r="AK222" s="1448"/>
      <c r="AL222" s="1449"/>
      <c r="AM222" s="1449"/>
      <c r="AN222" s="1453"/>
      <c r="AO222" s="1453"/>
      <c r="AP222" s="1451"/>
      <c r="AQ222" s="1452"/>
      <c r="AR222" s="1453"/>
      <c r="AS222" s="1453"/>
      <c r="AT222" s="1451"/>
    </row>
    <row r="223" spans="1:46" ht="12.75">
      <c r="A223" s="1436"/>
      <c r="B223" s="1430"/>
      <c r="C223" s="1523" t="s">
        <v>482</v>
      </c>
      <c r="D223" s="1523"/>
      <c r="E223" s="1523"/>
      <c r="F223" s="1523"/>
      <c r="G223" s="1523"/>
      <c r="H223" s="1523"/>
      <c r="I223" s="1523"/>
      <c r="J223" s="1523"/>
      <c r="K223" s="1439" t="s">
        <v>483</v>
      </c>
      <c r="L223" s="1441">
        <v>872189.86</v>
      </c>
      <c r="M223" s="1430"/>
      <c r="N223" s="1430"/>
      <c r="O223" s="1392">
        <f>+L223</f>
        <v>872189.86</v>
      </c>
      <c r="P223" s="1442"/>
      <c r="Q223" s="1442"/>
      <c r="R223" s="1358">
        <v>2824680.18</v>
      </c>
      <c r="S223" s="1358">
        <f>+R223/L223</f>
        <v>3.2386069932067318</v>
      </c>
      <c r="T223" s="1439" t="s">
        <v>344</v>
      </c>
      <c r="U223" s="1541" t="s">
        <v>484</v>
      </c>
      <c r="V223" s="1358"/>
      <c r="W223" s="1358">
        <f>+R223+12369536.22+19047.62+4977.12+36000+22857.14</f>
        <v>15277098.279999999</v>
      </c>
      <c r="X223" s="1358"/>
      <c r="Y223" s="1358"/>
      <c r="Z223" s="1414" t="s">
        <v>345</v>
      </c>
      <c r="AA223" s="1414" t="s">
        <v>485</v>
      </c>
      <c r="AB223" s="1542" t="s">
        <v>486</v>
      </c>
      <c r="AC223" s="1422"/>
      <c r="AJ223" s="1431"/>
      <c r="AK223" s="1448" t="s">
        <v>6105</v>
      </c>
      <c r="AL223" s="1449" t="s">
        <v>376</v>
      </c>
      <c r="AM223" s="1449" t="s">
        <v>376</v>
      </c>
      <c r="AN223" s="1450" t="s">
        <v>483</v>
      </c>
      <c r="AO223" s="1450" t="s">
        <v>483</v>
      </c>
      <c r="AP223" s="1451" t="s">
        <v>5520</v>
      </c>
      <c r="AQ223" s="1452">
        <v>872189.86</v>
      </c>
      <c r="AR223" s="1453" t="s">
        <v>5522</v>
      </c>
      <c r="AS223" s="1453" t="s">
        <v>5523</v>
      </c>
      <c r="AT223" s="1451" t="s">
        <v>5381</v>
      </c>
    </row>
    <row r="224" spans="1:46" ht="12.75">
      <c r="A224" s="1436"/>
      <c r="B224" s="1430"/>
      <c r="C224" s="1523" t="s">
        <v>487</v>
      </c>
      <c r="D224" s="1523"/>
      <c r="E224" s="1523"/>
      <c r="F224" s="1523"/>
      <c r="G224" s="1523"/>
      <c r="H224" s="1523"/>
      <c r="I224" s="1523"/>
      <c r="J224" s="1523"/>
      <c r="K224" s="1439"/>
      <c r="L224" s="1441">
        <v>400000</v>
      </c>
      <c r="M224" s="1430"/>
      <c r="N224" s="1430"/>
      <c r="O224" s="1392">
        <v>400000</v>
      </c>
      <c r="P224" s="1442"/>
      <c r="Q224" s="1442"/>
      <c r="R224" s="1358"/>
      <c r="S224" s="1358"/>
      <c r="T224" s="1439"/>
      <c r="U224" s="1541"/>
      <c r="V224" s="1358"/>
      <c r="W224" s="1358">
        <v>1352000</v>
      </c>
      <c r="X224" s="1358"/>
      <c r="Y224" s="1358"/>
      <c r="AB224" s="1542"/>
      <c r="AC224" s="1422"/>
      <c r="AJ224" s="1431"/>
      <c r="AK224" s="1448" t="s">
        <v>6106</v>
      </c>
      <c r="AL224" s="1449" t="s">
        <v>376</v>
      </c>
      <c r="AM224" s="1449" t="s">
        <v>376</v>
      </c>
      <c r="AN224" s="1453" t="s">
        <v>483</v>
      </c>
      <c r="AO224" s="1453" t="s">
        <v>483</v>
      </c>
      <c r="AP224" s="1451" t="s">
        <v>5393</v>
      </c>
      <c r="AQ224" s="1452">
        <v>400000</v>
      </c>
      <c r="AR224" s="1453" t="s">
        <v>5524</v>
      </c>
      <c r="AS224" s="1453" t="s">
        <v>5525</v>
      </c>
      <c r="AT224" s="1451" t="s">
        <v>5381</v>
      </c>
    </row>
    <row r="225" spans="1:46" ht="12.75">
      <c r="A225" s="1436"/>
      <c r="B225" s="1430"/>
      <c r="C225" s="1523" t="s">
        <v>488</v>
      </c>
      <c r="D225" s="1523"/>
      <c r="E225" s="1523"/>
      <c r="F225" s="1523"/>
      <c r="G225" s="1523">
        <v>753</v>
      </c>
      <c r="H225" s="1523" t="s">
        <v>489</v>
      </c>
      <c r="I225" s="1523">
        <v>9</v>
      </c>
      <c r="J225" s="1523"/>
      <c r="K225" s="1439" t="s">
        <v>483</v>
      </c>
      <c r="L225" s="1441"/>
      <c r="M225" s="1430"/>
      <c r="N225" s="1430"/>
      <c r="O225" s="1392">
        <v>1129525.6200000001</v>
      </c>
      <c r="P225" s="1442"/>
      <c r="Q225" s="1442"/>
      <c r="R225" s="1358"/>
      <c r="S225" s="1358"/>
      <c r="T225" s="1439"/>
      <c r="U225" s="1541"/>
      <c r="V225" s="1358"/>
      <c r="W225" s="1358">
        <v>7577996.4199999999</v>
      </c>
      <c r="X225" s="1358"/>
      <c r="Y225" s="1358"/>
      <c r="AB225" s="1542"/>
      <c r="AC225" s="1422"/>
      <c r="AJ225" s="1431"/>
      <c r="AK225" s="1448" t="s">
        <v>6107</v>
      </c>
      <c r="AL225" s="1449" t="s">
        <v>376</v>
      </c>
      <c r="AM225" s="1449" t="s">
        <v>376</v>
      </c>
      <c r="AN225" s="1453" t="s">
        <v>483</v>
      </c>
      <c r="AO225" s="1453" t="s">
        <v>483</v>
      </c>
      <c r="AP225" s="1451" t="s">
        <v>5393</v>
      </c>
      <c r="AQ225" s="1452">
        <v>1129525.6200000001</v>
      </c>
      <c r="AR225" s="1453" t="s">
        <v>5522</v>
      </c>
      <c r="AS225" s="1453" t="s">
        <v>5526</v>
      </c>
      <c r="AT225" s="1451" t="s">
        <v>5381</v>
      </c>
    </row>
    <row r="226" spans="1:46" ht="12.75">
      <c r="A226" s="1436"/>
      <c r="B226" s="1430"/>
      <c r="C226" s="1523" t="s">
        <v>1299</v>
      </c>
      <c r="D226" s="1523"/>
      <c r="E226" s="1523"/>
      <c r="F226" s="1523"/>
      <c r="G226" s="1523"/>
      <c r="H226" s="1523"/>
      <c r="I226" s="1523"/>
      <c r="J226" s="1523"/>
      <c r="K226" s="1439"/>
      <c r="L226" s="1441"/>
      <c r="M226" s="1430"/>
      <c r="N226" s="1430"/>
      <c r="O226" s="1392">
        <v>5000</v>
      </c>
      <c r="P226" s="1442"/>
      <c r="Q226" s="1442"/>
      <c r="R226" s="1358"/>
      <c r="S226" s="1358"/>
      <c r="T226" s="1439"/>
      <c r="U226" s="1541"/>
      <c r="V226" s="1358"/>
      <c r="W226" s="1358">
        <v>120000</v>
      </c>
      <c r="X226" s="1358"/>
      <c r="Y226" s="1358"/>
      <c r="AB226" s="1542"/>
      <c r="AC226" s="1422"/>
      <c r="AJ226" s="1431"/>
      <c r="AK226" s="1448" t="s">
        <v>6108</v>
      </c>
      <c r="AL226" s="1449" t="s">
        <v>376</v>
      </c>
      <c r="AM226" s="1449" t="s">
        <v>376</v>
      </c>
      <c r="AN226" s="1453" t="s">
        <v>5527</v>
      </c>
      <c r="AO226" s="1453" t="s">
        <v>5527</v>
      </c>
      <c r="AP226" s="1451" t="s">
        <v>5393</v>
      </c>
      <c r="AQ226" s="1457">
        <v>5000</v>
      </c>
      <c r="AR226" s="1451" t="s">
        <v>5528</v>
      </c>
      <c r="AS226" s="1453" t="s">
        <v>5381</v>
      </c>
      <c r="AT226" s="1451" t="s">
        <v>5529</v>
      </c>
    </row>
    <row r="227" spans="1:46" ht="12.75">
      <c r="A227" s="1436"/>
      <c r="B227" s="1430"/>
      <c r="C227" s="1523" t="s">
        <v>1300</v>
      </c>
      <c r="D227" s="1523"/>
      <c r="E227" s="1523"/>
      <c r="F227" s="1523"/>
      <c r="G227" s="1523"/>
      <c r="H227" s="1523"/>
      <c r="I227" s="1523"/>
      <c r="J227" s="1523"/>
      <c r="K227" s="1439"/>
      <c r="L227" s="1441"/>
      <c r="M227" s="1430"/>
      <c r="N227" s="1430"/>
      <c r="O227" s="1392">
        <v>5000</v>
      </c>
      <c r="P227" s="1442"/>
      <c r="Q227" s="1442"/>
      <c r="R227" s="1358"/>
      <c r="S227" s="1358"/>
      <c r="T227" s="1439"/>
      <c r="U227" s="1541"/>
      <c r="V227" s="1358"/>
      <c r="W227" s="1358">
        <v>160000</v>
      </c>
      <c r="X227" s="1358"/>
      <c r="Y227" s="1358"/>
      <c r="AB227" s="1542"/>
      <c r="AC227" s="1422"/>
      <c r="AJ227" s="1431"/>
      <c r="AK227" s="1448" t="s">
        <v>6109</v>
      </c>
      <c r="AL227" s="1449" t="s">
        <v>376</v>
      </c>
      <c r="AM227" s="1449" t="s">
        <v>376</v>
      </c>
      <c r="AN227" s="1453" t="s">
        <v>5530</v>
      </c>
      <c r="AO227" s="1453" t="s">
        <v>5530</v>
      </c>
      <c r="AP227" s="1451" t="s">
        <v>5393</v>
      </c>
      <c r="AQ227" s="1457">
        <v>5000</v>
      </c>
      <c r="AR227" s="1451" t="s">
        <v>5528</v>
      </c>
      <c r="AS227" s="1453" t="s">
        <v>5381</v>
      </c>
      <c r="AT227" s="1451" t="s">
        <v>5529</v>
      </c>
    </row>
    <row r="228" spans="1:46" ht="12.75">
      <c r="A228" s="1436"/>
      <c r="B228" s="1430"/>
      <c r="C228" s="1523" t="s">
        <v>1301</v>
      </c>
      <c r="D228" s="1523"/>
      <c r="E228" s="1523"/>
      <c r="F228" s="1523"/>
      <c r="G228" s="1523"/>
      <c r="H228" s="1523"/>
      <c r="I228" s="1523"/>
      <c r="J228" s="1523"/>
      <c r="K228" s="1439"/>
      <c r="L228" s="1441"/>
      <c r="M228" s="1430"/>
      <c r="N228" s="1430"/>
      <c r="O228" s="1392">
        <v>5000</v>
      </c>
      <c r="P228" s="1442"/>
      <c r="Q228" s="1442"/>
      <c r="R228" s="1358"/>
      <c r="S228" s="1358"/>
      <c r="T228" s="1439"/>
      <c r="U228" s="1541"/>
      <c r="V228" s="1358"/>
      <c r="W228" s="1358">
        <v>160000</v>
      </c>
      <c r="X228" s="1358"/>
      <c r="Y228" s="1358"/>
      <c r="AB228" s="1542"/>
      <c r="AC228" s="1422"/>
      <c r="AJ228" s="1431"/>
      <c r="AK228" s="1448" t="s">
        <v>6110</v>
      </c>
      <c r="AL228" s="1449" t="s">
        <v>376</v>
      </c>
      <c r="AM228" s="1449" t="s">
        <v>376</v>
      </c>
      <c r="AN228" s="1453" t="s">
        <v>5531</v>
      </c>
      <c r="AO228" s="1453" t="s">
        <v>5531</v>
      </c>
      <c r="AP228" s="1451" t="s">
        <v>5393</v>
      </c>
      <c r="AQ228" s="1457">
        <v>5000</v>
      </c>
      <c r="AR228" s="1451" t="s">
        <v>5528</v>
      </c>
      <c r="AS228" s="1453" t="s">
        <v>5381</v>
      </c>
      <c r="AT228" s="1451" t="s">
        <v>5529</v>
      </c>
    </row>
    <row r="229" spans="1:46" ht="11.25">
      <c r="A229" s="1439"/>
      <c r="B229" s="1440"/>
      <c r="C229" s="1472" t="s">
        <v>483</v>
      </c>
      <c r="D229" s="1472"/>
      <c r="E229" s="1472"/>
      <c r="F229" s="1472"/>
      <c r="G229" s="1472"/>
      <c r="H229" s="1472"/>
      <c r="I229" s="1472"/>
      <c r="J229" s="1472"/>
      <c r="K229" s="1472" t="s">
        <v>98</v>
      </c>
      <c r="L229" s="1455">
        <f>SUM(L223:L224)</f>
        <v>1272189.8599999999</v>
      </c>
      <c r="M229" s="1455">
        <f>SUM(M223:M224)</f>
        <v>0</v>
      </c>
      <c r="N229" s="1455">
        <f>SUM(N223:N228)</f>
        <v>0</v>
      </c>
      <c r="O229" s="1455">
        <f t="shared" ref="O229:W229" si="41">SUM(O223:O228)</f>
        <v>2416715.48</v>
      </c>
      <c r="P229" s="1455">
        <f t="shared" si="41"/>
        <v>0</v>
      </c>
      <c r="Q229" s="1455">
        <f t="shared" si="41"/>
        <v>0</v>
      </c>
      <c r="R229" s="1455">
        <f t="shared" si="41"/>
        <v>2824680.18</v>
      </c>
      <c r="S229" s="1455">
        <f t="shared" si="41"/>
        <v>3.2386069932067318</v>
      </c>
      <c r="T229" s="1455">
        <f t="shared" si="41"/>
        <v>0</v>
      </c>
      <c r="U229" s="1455">
        <f t="shared" si="41"/>
        <v>0</v>
      </c>
      <c r="V229" s="1455">
        <f t="shared" si="41"/>
        <v>0</v>
      </c>
      <c r="W229" s="1455">
        <f t="shared" si="41"/>
        <v>24647094.699999999</v>
      </c>
      <c r="X229" s="1473">
        <f>SUM(X223:X226)</f>
        <v>0</v>
      </c>
      <c r="Y229" s="1473">
        <f>SUM(Y223:Y226)</f>
        <v>0</v>
      </c>
      <c r="AB229" s="1422"/>
      <c r="AC229" s="1422"/>
      <c r="AK229" s="1448"/>
      <c r="AL229" s="1449"/>
      <c r="AM229" s="1449"/>
      <c r="AN229" s="1453"/>
      <c r="AO229" s="1453"/>
      <c r="AP229" s="1451"/>
      <c r="AQ229" s="1457"/>
      <c r="AR229" s="1451"/>
      <c r="AS229" s="1453"/>
      <c r="AT229" s="1451"/>
    </row>
    <row r="230" spans="1:46" ht="11.25">
      <c r="B230" s="1497"/>
      <c r="C230" s="1468"/>
      <c r="D230" s="1468"/>
      <c r="E230" s="1468"/>
      <c r="F230" s="1468"/>
      <c r="G230" s="1468"/>
      <c r="H230" s="1468"/>
      <c r="I230" s="1468"/>
      <c r="J230" s="1468"/>
      <c r="K230" s="1468" t="s">
        <v>365</v>
      </c>
      <c r="L230" s="1499">
        <f>L229</f>
        <v>1272189.8599999999</v>
      </c>
      <c r="M230" s="1499">
        <f t="shared" ref="M230:Y230" si="42">M229</f>
        <v>0</v>
      </c>
      <c r="N230" s="1499">
        <f t="shared" si="42"/>
        <v>0</v>
      </c>
      <c r="O230" s="1499">
        <f t="shared" si="42"/>
        <v>2416715.48</v>
      </c>
      <c r="P230" s="1499"/>
      <c r="Q230" s="1499"/>
      <c r="R230" s="1499"/>
      <c r="S230" s="1499"/>
      <c r="T230" s="1499">
        <f t="shared" si="42"/>
        <v>0</v>
      </c>
      <c r="U230" s="1499">
        <f t="shared" si="42"/>
        <v>0</v>
      </c>
      <c r="V230" s="1499">
        <f t="shared" si="42"/>
        <v>0</v>
      </c>
      <c r="W230" s="1499">
        <f t="shared" si="42"/>
        <v>24647094.699999999</v>
      </c>
      <c r="X230" s="1499">
        <f t="shared" si="42"/>
        <v>0</v>
      </c>
      <c r="Y230" s="1499">
        <f t="shared" si="42"/>
        <v>0</v>
      </c>
      <c r="AB230" s="1422"/>
      <c r="AC230" s="1422"/>
      <c r="AK230" s="1448"/>
      <c r="AL230" s="1449"/>
      <c r="AM230" s="1449"/>
      <c r="AN230" s="1453"/>
      <c r="AO230" s="1453"/>
      <c r="AP230" s="1451"/>
      <c r="AQ230" s="1457"/>
      <c r="AR230" s="1451"/>
      <c r="AS230" s="1453"/>
      <c r="AT230" s="1451"/>
    </row>
    <row r="231" spans="1:46" ht="11.25">
      <c r="A231" s="1423"/>
      <c r="B231" s="1423"/>
      <c r="C231" s="1423"/>
      <c r="D231" s="1423"/>
      <c r="E231" s="1423"/>
      <c r="F231" s="1423"/>
      <c r="G231" s="1423"/>
      <c r="H231" s="1423"/>
      <c r="I231" s="1423"/>
      <c r="J231" s="1423"/>
      <c r="K231" s="1423"/>
      <c r="L231" s="1423"/>
      <c r="M231" s="1423"/>
      <c r="N231" s="1423"/>
      <c r="O231" s="1423"/>
      <c r="AK231" s="1448"/>
      <c r="AL231" s="1449"/>
      <c r="AM231" s="1449"/>
      <c r="AN231" s="1453"/>
      <c r="AO231" s="1453"/>
      <c r="AP231" s="1451"/>
      <c r="AQ231" s="1457"/>
      <c r="AR231" s="1451"/>
      <c r="AS231" s="1453"/>
      <c r="AT231" s="1451"/>
    </row>
    <row r="232" spans="1:46" ht="11.25">
      <c r="A232" s="1423"/>
      <c r="B232" s="1543"/>
      <c r="C232" s="1423"/>
      <c r="D232" s="1423"/>
      <c r="E232" s="1423"/>
      <c r="F232" s="1423"/>
      <c r="G232" s="1423"/>
      <c r="H232" s="1423"/>
      <c r="I232" s="1423"/>
      <c r="J232" s="1423"/>
      <c r="K232" s="1423"/>
      <c r="L232" s="1423"/>
      <c r="M232" s="1423"/>
      <c r="N232" s="1423"/>
      <c r="O232" s="1423"/>
      <c r="AK232" s="1448"/>
      <c r="AL232" s="1449"/>
      <c r="AM232" s="1449"/>
      <c r="AN232" s="1453"/>
      <c r="AO232" s="1453"/>
      <c r="AP232" s="1451"/>
      <c r="AQ232" s="1457"/>
      <c r="AR232" s="1451"/>
      <c r="AS232" s="1453"/>
      <c r="AT232" s="1451"/>
    </row>
    <row r="233" spans="1:46" ht="11.25">
      <c r="A233" s="1423"/>
      <c r="B233" s="1423"/>
      <c r="C233" s="1423"/>
      <c r="D233" s="1423"/>
      <c r="E233" s="1423"/>
      <c r="F233" s="1423"/>
      <c r="G233" s="1423"/>
      <c r="H233" s="1423"/>
      <c r="I233" s="1423"/>
      <c r="J233" s="1423"/>
      <c r="K233" s="1423"/>
      <c r="L233" s="1423"/>
      <c r="M233" s="1423"/>
      <c r="N233" s="1423"/>
      <c r="O233" s="1423"/>
      <c r="AB233" s="1422"/>
      <c r="AC233" s="1422"/>
      <c r="AK233" s="1448"/>
      <c r="AL233" s="1449"/>
      <c r="AM233" s="1449"/>
      <c r="AN233" s="1453"/>
      <c r="AO233" s="1453"/>
      <c r="AP233" s="1451"/>
      <c r="AQ233" s="1457"/>
      <c r="AR233" s="1451"/>
      <c r="AS233" s="1453"/>
      <c r="AT233" s="1451"/>
    </row>
    <row r="234" spans="1:46" ht="11.25">
      <c r="A234" s="1423"/>
      <c r="B234" s="1423"/>
      <c r="C234" s="1423"/>
      <c r="D234" s="1423"/>
      <c r="E234" s="1423"/>
      <c r="F234" s="1423"/>
      <c r="G234" s="1423"/>
      <c r="H234" s="1423"/>
      <c r="I234" s="1423"/>
      <c r="J234" s="1423"/>
      <c r="K234" s="1423"/>
      <c r="L234" s="1423"/>
      <c r="M234" s="1423"/>
      <c r="N234" s="1423"/>
      <c r="O234" s="1423"/>
      <c r="AB234" s="1422"/>
      <c r="AC234" s="1422"/>
      <c r="AH234" s="1423">
        <f>566556.34+3376724.8</f>
        <v>3943281.1399999997</v>
      </c>
      <c r="AK234" s="1448"/>
      <c r="AL234" s="1449"/>
      <c r="AM234" s="1449"/>
      <c r="AN234" s="1453"/>
      <c r="AO234" s="1453"/>
      <c r="AP234" s="1451"/>
      <c r="AQ234" s="1457"/>
      <c r="AR234" s="1451"/>
      <c r="AS234" s="1453"/>
      <c r="AT234" s="1451"/>
    </row>
    <row r="235" spans="1:46" ht="11.25">
      <c r="A235" s="1423"/>
      <c r="B235" s="1423"/>
      <c r="C235" s="1423"/>
      <c r="D235" s="1423"/>
      <c r="E235" s="1423"/>
      <c r="F235" s="1423"/>
      <c r="G235" s="1423"/>
      <c r="H235" s="1423"/>
      <c r="I235" s="1423"/>
      <c r="J235" s="1423"/>
      <c r="K235" s="1423"/>
      <c r="L235" s="1423"/>
      <c r="M235" s="1423"/>
      <c r="N235" s="1423"/>
      <c r="O235" s="1423"/>
      <c r="AB235" s="1422"/>
      <c r="AC235" s="1422"/>
      <c r="AK235" s="1448"/>
      <c r="AL235" s="1449"/>
      <c r="AM235" s="1449"/>
      <c r="AN235" s="1453"/>
      <c r="AO235" s="1453"/>
      <c r="AP235" s="1451"/>
      <c r="AQ235" s="1457"/>
      <c r="AR235" s="1451"/>
      <c r="AS235" s="1453"/>
      <c r="AT235" s="1451"/>
    </row>
    <row r="236" spans="1:46" ht="11.25">
      <c r="A236" s="1971" t="s">
        <v>490</v>
      </c>
      <c r="B236" s="1972"/>
      <c r="C236" s="1972"/>
      <c r="D236" s="1972"/>
      <c r="E236" s="1972"/>
      <c r="F236" s="1972"/>
      <c r="G236" s="1972"/>
      <c r="H236" s="1972"/>
      <c r="I236" s="1972"/>
      <c r="J236" s="1972"/>
      <c r="K236" s="1972"/>
      <c r="L236" s="1972"/>
      <c r="M236" s="1972"/>
      <c r="N236" s="1972"/>
      <c r="O236" s="1973"/>
      <c r="P236" s="1417"/>
      <c r="Q236" s="1418"/>
      <c r="R236" s="1419"/>
      <c r="S236" s="1420"/>
      <c r="T236" s="1421"/>
      <c r="U236" s="1419"/>
      <c r="V236" s="1375"/>
      <c r="W236" s="1376"/>
      <c r="X236" s="1376"/>
      <c r="Y236" s="1377"/>
      <c r="AB236" s="1422"/>
      <c r="AC236" s="1422"/>
      <c r="AK236" s="1448"/>
      <c r="AL236" s="1449"/>
      <c r="AM236" s="1449"/>
      <c r="AN236" s="1453"/>
      <c r="AO236" s="1453"/>
      <c r="AP236" s="1451"/>
      <c r="AQ236" s="1457"/>
      <c r="AR236" s="1451"/>
      <c r="AS236" s="1453"/>
      <c r="AT236" s="1451"/>
    </row>
    <row r="237" spans="1:46" ht="11.25">
      <c r="A237" s="1424"/>
      <c r="B237" s="1425"/>
      <c r="C237" s="1426" t="s">
        <v>256</v>
      </c>
      <c r="D237" s="1426" t="s">
        <v>257</v>
      </c>
      <c r="E237" s="1427" t="s">
        <v>258</v>
      </c>
      <c r="F237" s="1427" t="s">
        <v>259</v>
      </c>
      <c r="G237" s="1427" t="s">
        <v>260</v>
      </c>
      <c r="H237" s="1427" t="s">
        <v>261</v>
      </c>
      <c r="I237" s="1427" t="s">
        <v>262</v>
      </c>
      <c r="J237" s="1427" t="s">
        <v>263</v>
      </c>
      <c r="K237" s="1974" t="s">
        <v>264</v>
      </c>
      <c r="L237" s="1975"/>
      <c r="M237" s="1975"/>
      <c r="N237" s="1975" t="s">
        <v>265</v>
      </c>
      <c r="O237" s="1976"/>
      <c r="P237" s="1475"/>
      <c r="Q237" s="1476"/>
      <c r="R237" s="1430" t="s">
        <v>266</v>
      </c>
      <c r="S237" s="1430" t="s">
        <v>267</v>
      </c>
      <c r="T237" s="1430"/>
      <c r="U237" s="1430"/>
      <c r="V237" s="1977" t="s">
        <v>268</v>
      </c>
      <c r="W237" s="1978"/>
      <c r="X237" s="1978"/>
      <c r="Y237" s="1979"/>
      <c r="AB237" s="1422"/>
      <c r="AC237" s="1422"/>
      <c r="AF237" s="1432">
        <v>1</v>
      </c>
      <c r="AG237" s="1423">
        <f>SUM(AF242:AF267)</f>
        <v>279151.51699999999</v>
      </c>
      <c r="AH237" s="1423"/>
      <c r="AK237" s="1448"/>
      <c r="AL237" s="1449"/>
      <c r="AM237" s="1449"/>
      <c r="AN237" s="1453"/>
      <c r="AO237" s="1453"/>
      <c r="AP237" s="1451"/>
      <c r="AQ237" s="1457"/>
      <c r="AR237" s="1451"/>
      <c r="AS237" s="1453"/>
      <c r="AT237" s="1451"/>
    </row>
    <row r="238" spans="1:46" ht="13.5" customHeight="1">
      <c r="A238" s="1436" t="s">
        <v>269</v>
      </c>
      <c r="B238" s="1430" t="s">
        <v>270</v>
      </c>
      <c r="C238" s="1436" t="s">
        <v>271</v>
      </c>
      <c r="D238" s="1436"/>
      <c r="E238" s="1436"/>
      <c r="F238" s="1436"/>
      <c r="G238" s="1436"/>
      <c r="H238" s="1436"/>
      <c r="I238" s="1436"/>
      <c r="J238" s="1436"/>
      <c r="K238" s="1436" t="s">
        <v>272</v>
      </c>
      <c r="L238" s="1429" t="s">
        <v>273</v>
      </c>
      <c r="M238" s="1430" t="s">
        <v>274</v>
      </c>
      <c r="N238" s="1430" t="s">
        <v>275</v>
      </c>
      <c r="O238" s="1430" t="s">
        <v>276</v>
      </c>
      <c r="P238" s="1437" t="s">
        <v>277</v>
      </c>
      <c r="Q238" s="1437" t="s">
        <v>278</v>
      </c>
      <c r="R238" s="1438" t="s">
        <v>279</v>
      </c>
      <c r="S238" s="1438" t="s">
        <v>280</v>
      </c>
      <c r="T238" s="1438" t="s">
        <v>281</v>
      </c>
      <c r="U238" s="1438" t="s">
        <v>282</v>
      </c>
      <c r="V238" s="1378" t="s">
        <v>283</v>
      </c>
      <c r="W238" s="1378" t="s">
        <v>284</v>
      </c>
      <c r="X238" s="1378" t="s">
        <v>285</v>
      </c>
      <c r="Y238" s="1378" t="s">
        <v>286</v>
      </c>
      <c r="AB238" s="1422"/>
      <c r="AC238" s="1422"/>
      <c r="AE238" s="1423"/>
      <c r="AF238" s="1423"/>
      <c r="AG238" s="1423"/>
      <c r="AH238" s="1423"/>
      <c r="AK238" s="1448"/>
      <c r="AL238" s="1449"/>
      <c r="AM238" s="1449"/>
      <c r="AN238" s="1453"/>
      <c r="AO238" s="1453"/>
      <c r="AP238" s="1451"/>
      <c r="AQ238" s="1457"/>
      <c r="AR238" s="1451"/>
      <c r="AS238" s="1453"/>
      <c r="AT238" s="1451"/>
    </row>
    <row r="239" spans="1:46" ht="15" hidden="1" customHeight="1">
      <c r="A239" s="1523"/>
      <c r="B239" s="1525" t="s">
        <v>491</v>
      </c>
      <c r="C239" s="1523" t="s">
        <v>492</v>
      </c>
      <c r="D239" s="1475">
        <v>7500000</v>
      </c>
      <c r="E239" s="1533">
        <v>38200</v>
      </c>
      <c r="F239" s="1533">
        <v>38181</v>
      </c>
      <c r="G239" s="1523">
        <v>504</v>
      </c>
      <c r="H239" s="1523" t="s">
        <v>313</v>
      </c>
      <c r="I239" s="1523">
        <v>95</v>
      </c>
      <c r="J239" s="1523" t="s">
        <v>314</v>
      </c>
      <c r="K239" s="1523" t="s">
        <v>493</v>
      </c>
      <c r="L239" s="1524">
        <v>3384.6</v>
      </c>
      <c r="M239" s="1525"/>
      <c r="N239" s="1524">
        <f>+L239-3384.6</f>
        <v>0</v>
      </c>
      <c r="O239" s="1392"/>
      <c r="P239" s="1442"/>
      <c r="Q239" s="1442"/>
      <c r="R239" s="1358">
        <f>7500000*0.2</f>
        <v>1500000</v>
      </c>
      <c r="S239" s="1358">
        <f>+R239/L239</f>
        <v>443.1838326537848</v>
      </c>
      <c r="T239" s="1439" t="s">
        <v>344</v>
      </c>
      <c r="U239" s="1456">
        <v>37987</v>
      </c>
      <c r="V239" s="1358"/>
      <c r="W239" s="1358">
        <f>+R239+3498-1503498</f>
        <v>0</v>
      </c>
      <c r="X239" s="1358"/>
      <c r="Y239" s="1358"/>
      <c r="Z239" s="1414" t="s">
        <v>345</v>
      </c>
      <c r="AA239" s="1414" t="s">
        <v>494</v>
      </c>
      <c r="AB239" s="1544" t="s">
        <v>495</v>
      </c>
      <c r="AC239" s="1422" t="s">
        <v>496</v>
      </c>
      <c r="AE239" s="1423"/>
      <c r="AF239" s="1423"/>
      <c r="AG239" s="1423"/>
      <c r="AH239" s="1423"/>
      <c r="AK239" s="1448"/>
      <c r="AL239" s="1449"/>
      <c r="AM239" s="1449"/>
      <c r="AN239" s="1453"/>
      <c r="AO239" s="1453"/>
      <c r="AP239" s="1451"/>
      <c r="AQ239" s="1457"/>
      <c r="AR239" s="1451"/>
      <c r="AS239" s="1453"/>
      <c r="AT239" s="1451"/>
    </row>
    <row r="240" spans="1:46" s="1416" customFormat="1" ht="12.75" hidden="1" customHeight="1">
      <c r="A240" s="1439">
        <v>63</v>
      </c>
      <c r="B240" s="1440">
        <v>1</v>
      </c>
      <c r="C240" s="1439" t="s">
        <v>497</v>
      </c>
      <c r="D240" s="1475"/>
      <c r="E240" s="1533"/>
      <c r="F240" s="1533"/>
      <c r="G240" s="1523"/>
      <c r="H240" s="1523"/>
      <c r="I240" s="1523"/>
      <c r="J240" s="1523"/>
      <c r="K240" s="1523" t="s">
        <v>493</v>
      </c>
      <c r="L240" s="1443">
        <v>491</v>
      </c>
      <c r="M240" s="1471"/>
      <c r="N240" s="1443">
        <f>+L240-491</f>
        <v>0</v>
      </c>
      <c r="O240" s="1372"/>
      <c r="P240" s="1442"/>
      <c r="Q240" s="1442"/>
      <c r="R240" s="1358">
        <f>1750000*0.2</f>
        <v>350000</v>
      </c>
      <c r="S240" s="1358">
        <f>+R240/L240</f>
        <v>712.83095723014253</v>
      </c>
      <c r="T240" s="1439" t="s">
        <v>344</v>
      </c>
      <c r="U240" s="1456">
        <v>38139</v>
      </c>
      <c r="V240" s="1371"/>
      <c r="W240" s="1358">
        <f>+R240+3498-353498</f>
        <v>0</v>
      </c>
      <c r="X240" s="1371"/>
      <c r="Y240" s="1470"/>
      <c r="Z240" s="1416" t="s">
        <v>345</v>
      </c>
      <c r="AA240" s="1416" t="s">
        <v>498</v>
      </c>
      <c r="AB240" s="1544" t="s">
        <v>499</v>
      </c>
      <c r="AC240" s="1422" t="s">
        <v>500</v>
      </c>
      <c r="AD240" s="1414"/>
      <c r="AE240" s="1423"/>
      <c r="AF240" s="1423"/>
      <c r="AG240" s="1423"/>
      <c r="AH240" s="1423"/>
      <c r="AK240" s="1448"/>
      <c r="AL240" s="1449"/>
      <c r="AM240" s="1449"/>
      <c r="AN240" s="1453"/>
      <c r="AO240" s="1453"/>
      <c r="AP240" s="1451"/>
      <c r="AQ240" s="1457"/>
      <c r="AR240" s="1451"/>
      <c r="AS240" s="1453"/>
      <c r="AT240" s="1451"/>
    </row>
    <row r="241" spans="1:46" s="1416" customFormat="1" ht="12.75" hidden="1" customHeight="1">
      <c r="A241" s="1458">
        <v>65</v>
      </c>
      <c r="B241" s="1459">
        <v>4</v>
      </c>
      <c r="C241" s="1523" t="s">
        <v>501</v>
      </c>
      <c r="D241" s="1475"/>
      <c r="E241" s="1533"/>
      <c r="F241" s="1533"/>
      <c r="G241" s="1523"/>
      <c r="H241" s="1523"/>
      <c r="I241" s="1523"/>
      <c r="J241" s="1523"/>
      <c r="K241" s="1523" t="s">
        <v>493</v>
      </c>
      <c r="L241" s="1545"/>
      <c r="M241" s="1438"/>
      <c r="N241" s="1545">
        <f>452-452</f>
        <v>0</v>
      </c>
      <c r="O241" s="1369"/>
      <c r="P241" s="1462"/>
      <c r="Q241" s="1462"/>
      <c r="R241" s="1370"/>
      <c r="S241" s="1358"/>
      <c r="T241" s="1439"/>
      <c r="U241" s="1456"/>
      <c r="V241" s="1371"/>
      <c r="W241" s="1358">
        <f>87400-87400</f>
        <v>0</v>
      </c>
      <c r="X241" s="1371"/>
      <c r="Y241" s="1470"/>
      <c r="AB241" s="1544"/>
      <c r="AC241" s="1422"/>
      <c r="AD241" s="1414"/>
      <c r="AE241" s="1423"/>
      <c r="AF241" s="1423"/>
      <c r="AG241" s="1423"/>
      <c r="AH241" s="1423"/>
      <c r="AK241" s="1448"/>
      <c r="AL241" s="1449"/>
      <c r="AM241" s="1449"/>
      <c r="AN241" s="1453"/>
      <c r="AO241" s="1453"/>
      <c r="AP241" s="1451"/>
      <c r="AQ241" s="1457"/>
      <c r="AR241" s="1451"/>
      <c r="AS241" s="1453"/>
      <c r="AT241" s="1451"/>
    </row>
    <row r="242" spans="1:46" s="1416" customFormat="1" ht="12.75" customHeight="1">
      <c r="A242" s="1458">
        <v>70</v>
      </c>
      <c r="B242" s="1459">
        <v>4</v>
      </c>
      <c r="C242" s="1523" t="s">
        <v>502</v>
      </c>
      <c r="D242" s="1475">
        <v>74520</v>
      </c>
      <c r="E242" s="1533">
        <v>38708</v>
      </c>
      <c r="F242" s="1533">
        <v>38717</v>
      </c>
      <c r="G242" s="1523">
        <v>5078</v>
      </c>
      <c r="H242" s="1523"/>
      <c r="I242" s="1523">
        <v>158</v>
      </c>
      <c r="J242" s="1523" t="s">
        <v>382</v>
      </c>
      <c r="K242" s="1523" t="s">
        <v>493</v>
      </c>
      <c r="L242" s="1545"/>
      <c r="M242" s="1438"/>
      <c r="N242" s="1545">
        <v>828</v>
      </c>
      <c r="O242" s="1369"/>
      <c r="P242" s="1462"/>
      <c r="Q242" s="1462"/>
      <c r="R242" s="1370"/>
      <c r="S242" s="1358"/>
      <c r="T242" s="1439"/>
      <c r="U242" s="1456"/>
      <c r="V242" s="1371"/>
      <c r="W242" s="1358">
        <f>74520+11696.27</f>
        <v>86216.27</v>
      </c>
      <c r="X242" s="1371"/>
      <c r="Y242" s="1470"/>
      <c r="AB242" s="1544"/>
      <c r="AC242" s="1422"/>
      <c r="AD242" s="1414"/>
      <c r="AE242" s="1423"/>
      <c r="AF242" s="1423">
        <f>N242</f>
        <v>828</v>
      </c>
      <c r="AG242" s="1519">
        <f>(AF242*$AF$237)/$AG$237</f>
        <v>2.9661311136632658E-3</v>
      </c>
      <c r="AH242" s="1499">
        <f>$AH$234*AG242</f>
        <v>11696.288879275551</v>
      </c>
      <c r="AJ242" s="1499"/>
      <c r="AK242" s="1448" t="s">
        <v>6111</v>
      </c>
      <c r="AL242" s="1449" t="s">
        <v>376</v>
      </c>
      <c r="AM242" s="1449" t="s">
        <v>376</v>
      </c>
      <c r="AN242" s="1453" t="s">
        <v>5532</v>
      </c>
      <c r="AO242" s="1453" t="s">
        <v>5532</v>
      </c>
      <c r="AP242" s="1451" t="s">
        <v>5393</v>
      </c>
      <c r="AQ242" s="1507">
        <v>828</v>
      </c>
      <c r="AR242" s="1453" t="s">
        <v>5533</v>
      </c>
      <c r="AS242" s="1453" t="s">
        <v>5534</v>
      </c>
      <c r="AT242" s="1453" t="s">
        <v>5381</v>
      </c>
    </row>
    <row r="243" spans="1:46" s="1416" customFormat="1" ht="12.75" customHeight="1">
      <c r="A243" s="1458">
        <v>69</v>
      </c>
      <c r="B243" s="1459">
        <v>7</v>
      </c>
      <c r="C243" s="1523" t="s">
        <v>503</v>
      </c>
      <c r="D243" s="1475">
        <v>190836.3</v>
      </c>
      <c r="E243" s="1533">
        <v>38708</v>
      </c>
      <c r="F243" s="1533">
        <v>39082</v>
      </c>
      <c r="G243" s="1523">
        <v>5077</v>
      </c>
      <c r="H243" s="1523"/>
      <c r="I243" s="1523">
        <v>158</v>
      </c>
      <c r="J243" s="1523" t="s">
        <v>382</v>
      </c>
      <c r="K243" s="1523" t="s">
        <v>493</v>
      </c>
      <c r="L243" s="1545"/>
      <c r="M243" s="1438"/>
      <c r="N243" s="1545">
        <v>826</v>
      </c>
      <c r="O243" s="1369"/>
      <c r="P243" s="1462"/>
      <c r="Q243" s="1462"/>
      <c r="R243" s="1370"/>
      <c r="S243" s="1358"/>
      <c r="T243" s="1439"/>
      <c r="U243" s="1456"/>
      <c r="V243" s="1371"/>
      <c r="W243" s="1358">
        <f>190836.6+11668.02</f>
        <v>202504.62</v>
      </c>
      <c r="X243" s="1371"/>
      <c r="Y243" s="1470"/>
      <c r="AB243" s="1544"/>
      <c r="AC243" s="1422"/>
      <c r="AD243" s="1414"/>
      <c r="AE243" s="1423"/>
      <c r="AF243" s="1423">
        <f t="shared" ref="AF243:AF276" si="43">N243</f>
        <v>826</v>
      </c>
      <c r="AG243" s="1519">
        <f t="shared" ref="AG243:AG276" si="44">(AF243*$AF$237)/$AG$237</f>
        <v>2.9589665457558662E-3</v>
      </c>
      <c r="AH243" s="1499">
        <f t="shared" ref="AH243:AH267" si="45">$AH$234*AG243</f>
        <v>11668.036973770053</v>
      </c>
      <c r="AJ243" s="1499"/>
      <c r="AK243" s="1448" t="s">
        <v>6112</v>
      </c>
      <c r="AL243" s="1449" t="s">
        <v>376</v>
      </c>
      <c r="AM243" s="1449" t="s">
        <v>376</v>
      </c>
      <c r="AN243" s="1453" t="s">
        <v>5532</v>
      </c>
      <c r="AO243" s="1453" t="s">
        <v>5532</v>
      </c>
      <c r="AP243" s="1451" t="s">
        <v>5393</v>
      </c>
      <c r="AQ243" s="1507">
        <v>826</v>
      </c>
      <c r="AR243" s="1453" t="s">
        <v>5535</v>
      </c>
      <c r="AS243" s="1453" t="s">
        <v>5536</v>
      </c>
      <c r="AT243" s="1453" t="s">
        <v>5381</v>
      </c>
    </row>
    <row r="244" spans="1:46" s="1416" customFormat="1" ht="12.75" hidden="1" customHeight="1">
      <c r="A244" s="1458">
        <v>70</v>
      </c>
      <c r="B244" s="1459">
        <v>2</v>
      </c>
      <c r="C244" s="1523" t="s">
        <v>504</v>
      </c>
      <c r="D244" s="1475">
        <v>143380</v>
      </c>
      <c r="E244" s="1533">
        <v>38708</v>
      </c>
      <c r="F244" s="1533">
        <v>39082</v>
      </c>
      <c r="G244" s="1523">
        <v>5068</v>
      </c>
      <c r="H244" s="1523"/>
      <c r="I244" s="1523">
        <v>158</v>
      </c>
      <c r="J244" s="1523" t="s">
        <v>382</v>
      </c>
      <c r="K244" s="1523" t="s">
        <v>493</v>
      </c>
      <c r="L244" s="1545"/>
      <c r="M244" s="1438"/>
      <c r="N244" s="1545">
        <f>820-820</f>
        <v>0</v>
      </c>
      <c r="O244" s="1369"/>
      <c r="P244" s="1462"/>
      <c r="Q244" s="1462"/>
      <c r="R244" s="1370"/>
      <c r="S244" s="1358"/>
      <c r="T244" s="1439"/>
      <c r="U244" s="1456"/>
      <c r="V244" s="1371"/>
      <c r="W244" s="1358">
        <f>143380-143380</f>
        <v>0</v>
      </c>
      <c r="X244" s="1371"/>
      <c r="Y244" s="1470"/>
      <c r="AB244" s="1544"/>
      <c r="AC244" s="1422"/>
      <c r="AD244" s="1414"/>
      <c r="AE244" s="1423"/>
      <c r="AF244" s="1423">
        <f t="shared" si="43"/>
        <v>0</v>
      </c>
      <c r="AG244" s="1519">
        <f t="shared" si="44"/>
        <v>0</v>
      </c>
      <c r="AH244" s="1499">
        <f t="shared" si="45"/>
        <v>0</v>
      </c>
      <c r="AJ244" s="1499"/>
      <c r="AK244" s="1448"/>
      <c r="AL244" s="1449"/>
      <c r="AM244" s="1449"/>
      <c r="AN244" s="1453"/>
      <c r="AO244" s="1453"/>
      <c r="AP244" s="1451"/>
      <c r="AQ244" s="1507"/>
      <c r="AR244" s="1453"/>
      <c r="AS244" s="1453"/>
      <c r="AT244" s="1453"/>
    </row>
    <row r="245" spans="1:46" s="1416" customFormat="1" ht="12.75" customHeight="1">
      <c r="A245" s="1458">
        <v>70</v>
      </c>
      <c r="B245" s="1459">
        <v>6</v>
      </c>
      <c r="C245" s="1523" t="s">
        <v>505</v>
      </c>
      <c r="D245" s="1475">
        <v>74920</v>
      </c>
      <c r="E245" s="1533">
        <v>38708</v>
      </c>
      <c r="F245" s="1533">
        <v>39082</v>
      </c>
      <c r="G245" s="1523">
        <v>5070</v>
      </c>
      <c r="H245" s="1523"/>
      <c r="I245" s="1523">
        <v>158</v>
      </c>
      <c r="J245" s="1523" t="s">
        <v>382</v>
      </c>
      <c r="K245" s="1523" t="s">
        <v>493</v>
      </c>
      <c r="L245" s="1545"/>
      <c r="M245" s="1438"/>
      <c r="N245" s="1545">
        <v>485</v>
      </c>
      <c r="O245" s="1369"/>
      <c r="P245" s="1462"/>
      <c r="Q245" s="1462"/>
      <c r="R245" s="1370"/>
      <c r="S245" s="1358"/>
      <c r="T245" s="1439"/>
      <c r="U245" s="1456"/>
      <c r="V245" s="1371"/>
      <c r="W245" s="1358">
        <f>74920+6851.08</f>
        <v>81771.08</v>
      </c>
      <c r="X245" s="1371"/>
      <c r="Y245" s="1470"/>
      <c r="AB245" s="1544"/>
      <c r="AC245" s="1422"/>
      <c r="AD245" s="1414"/>
      <c r="AE245" s="1423"/>
      <c r="AF245" s="1423">
        <f t="shared" si="43"/>
        <v>485</v>
      </c>
      <c r="AG245" s="1519">
        <f t="shared" si="44"/>
        <v>1.7374077175443042E-3</v>
      </c>
      <c r="AH245" s="1499">
        <f t="shared" si="45"/>
        <v>6851.0870850829015</v>
      </c>
      <c r="AJ245" s="1499"/>
      <c r="AK245" s="1448" t="s">
        <v>6113</v>
      </c>
      <c r="AL245" s="1449" t="s">
        <v>376</v>
      </c>
      <c r="AM245" s="1449" t="s">
        <v>376</v>
      </c>
      <c r="AN245" s="1453" t="s">
        <v>5532</v>
      </c>
      <c r="AO245" s="1453" t="s">
        <v>5532</v>
      </c>
      <c r="AP245" s="1451" t="s">
        <v>5393</v>
      </c>
      <c r="AQ245" s="1507">
        <v>485</v>
      </c>
      <c r="AR245" s="1453" t="s">
        <v>5537</v>
      </c>
      <c r="AS245" s="1453" t="s">
        <v>5538</v>
      </c>
      <c r="AT245" s="1453" t="s">
        <v>5381</v>
      </c>
    </row>
    <row r="246" spans="1:46" s="1416" customFormat="1" ht="12.75" hidden="1" customHeight="1">
      <c r="A246" s="1458">
        <v>63</v>
      </c>
      <c r="B246" s="1459">
        <v>2</v>
      </c>
      <c r="C246" s="1523" t="s">
        <v>506</v>
      </c>
      <c r="D246" s="1475">
        <v>296594</v>
      </c>
      <c r="E246" s="1533">
        <v>38708</v>
      </c>
      <c r="F246" s="1533">
        <v>39082</v>
      </c>
      <c r="G246" s="1523">
        <v>5069</v>
      </c>
      <c r="H246" s="1523"/>
      <c r="I246" s="1523">
        <v>158</v>
      </c>
      <c r="J246" s="1523" t="s">
        <v>382</v>
      </c>
      <c r="K246" s="1523" t="s">
        <v>493</v>
      </c>
      <c r="L246" s="1545"/>
      <c r="M246" s="1438"/>
      <c r="N246" s="1545">
        <f>529-529</f>
        <v>0</v>
      </c>
      <c r="O246" s="1369"/>
      <c r="P246" s="1462"/>
      <c r="Q246" s="1462"/>
      <c r="R246" s="1370"/>
      <c r="S246" s="1358"/>
      <c r="T246" s="1439"/>
      <c r="U246" s="1456"/>
      <c r="V246" s="1371"/>
      <c r="W246" s="1358">
        <f>296594-296594</f>
        <v>0</v>
      </c>
      <c r="X246" s="1371"/>
      <c r="Y246" s="1470"/>
      <c r="AB246" s="1544"/>
      <c r="AC246" s="1422"/>
      <c r="AD246" s="1414"/>
      <c r="AE246" s="1423"/>
      <c r="AF246" s="1423">
        <f t="shared" si="43"/>
        <v>0</v>
      </c>
      <c r="AG246" s="1519">
        <f t="shared" si="44"/>
        <v>0</v>
      </c>
      <c r="AH246" s="1499">
        <f t="shared" si="45"/>
        <v>0</v>
      </c>
      <c r="AJ246" s="1499"/>
      <c r="AK246" s="1448"/>
      <c r="AL246" s="1449"/>
      <c r="AM246" s="1449"/>
      <c r="AN246" s="1453"/>
      <c r="AO246" s="1453"/>
      <c r="AP246" s="1451"/>
      <c r="AQ246" s="1507"/>
      <c r="AR246" s="1453"/>
      <c r="AS246" s="1453"/>
      <c r="AT246" s="1453"/>
    </row>
    <row r="247" spans="1:46" s="1416" customFormat="1" ht="12.75" hidden="1" customHeight="1">
      <c r="A247" s="1458">
        <v>79</v>
      </c>
      <c r="B247" s="1459">
        <v>134</v>
      </c>
      <c r="C247" s="1523" t="s">
        <v>507</v>
      </c>
      <c r="D247" s="1475">
        <v>134400</v>
      </c>
      <c r="E247" s="1533">
        <v>38742</v>
      </c>
      <c r="F247" s="1533">
        <v>39082</v>
      </c>
      <c r="G247" s="1523">
        <v>5115</v>
      </c>
      <c r="H247" s="1523"/>
      <c r="I247" s="1523">
        <v>158</v>
      </c>
      <c r="J247" s="1523" t="s">
        <v>382</v>
      </c>
      <c r="K247" s="1523" t="s">
        <v>493</v>
      </c>
      <c r="L247" s="1545"/>
      <c r="M247" s="1438"/>
      <c r="N247" s="1545">
        <f>134+248-382</f>
        <v>0</v>
      </c>
      <c r="O247" s="1369"/>
      <c r="P247" s="1462"/>
      <c r="Q247" s="1462"/>
      <c r="R247" s="1370"/>
      <c r="S247" s="1358"/>
      <c r="T247" s="1439"/>
      <c r="U247" s="1456"/>
      <c r="V247" s="1371"/>
      <c r="W247" s="1358">
        <f>134400-134400</f>
        <v>0</v>
      </c>
      <c r="X247" s="1371"/>
      <c r="Y247" s="1470"/>
      <c r="AB247" s="1544"/>
      <c r="AC247" s="1422"/>
      <c r="AD247" s="1414"/>
      <c r="AE247" s="1423"/>
      <c r="AF247" s="1423">
        <f t="shared" si="43"/>
        <v>0</v>
      </c>
      <c r="AG247" s="1519">
        <f t="shared" si="44"/>
        <v>0</v>
      </c>
      <c r="AH247" s="1499">
        <f t="shared" si="45"/>
        <v>0</v>
      </c>
      <c r="AJ247" s="1499"/>
      <c r="AK247" s="1448"/>
      <c r="AL247" s="1449"/>
      <c r="AM247" s="1449"/>
      <c r="AN247" s="1453"/>
      <c r="AO247" s="1453"/>
      <c r="AP247" s="1451"/>
      <c r="AQ247" s="1507"/>
      <c r="AR247" s="1453"/>
      <c r="AS247" s="1453"/>
      <c r="AT247" s="1453"/>
    </row>
    <row r="248" spans="1:46" s="1416" customFormat="1" ht="12.75" hidden="1" customHeight="1">
      <c r="A248" s="1458">
        <v>63</v>
      </c>
      <c r="B248" s="1459" t="s">
        <v>508</v>
      </c>
      <c r="C248" s="1523" t="s">
        <v>509</v>
      </c>
      <c r="D248" s="1475">
        <v>87400</v>
      </c>
      <c r="E248" s="1533">
        <v>38708</v>
      </c>
      <c r="F248" s="1533">
        <v>39082</v>
      </c>
      <c r="G248" s="1523">
        <v>5075</v>
      </c>
      <c r="H248" s="1523"/>
      <c r="I248" s="1523">
        <v>158</v>
      </c>
      <c r="J248" s="1523" t="s">
        <v>382</v>
      </c>
      <c r="K248" s="1523" t="s">
        <v>493</v>
      </c>
      <c r="L248" s="1545"/>
      <c r="M248" s="1438"/>
      <c r="N248" s="1545">
        <f>1196-1196</f>
        <v>0</v>
      </c>
      <c r="O248" s="1369"/>
      <c r="P248" s="1462"/>
      <c r="Q248" s="1462"/>
      <c r="R248" s="1370"/>
      <c r="S248" s="1358"/>
      <c r="T248" s="1439"/>
      <c r="U248" s="1456"/>
      <c r="V248" s="1371"/>
      <c r="W248" s="1358">
        <f>865406.3-865406.3</f>
        <v>0</v>
      </c>
      <c r="X248" s="1371"/>
      <c r="Y248" s="1470"/>
      <c r="AB248" s="1544"/>
      <c r="AC248" s="1422"/>
      <c r="AD248" s="1414"/>
      <c r="AE248" s="1423"/>
      <c r="AF248" s="1423">
        <f t="shared" si="43"/>
        <v>0</v>
      </c>
      <c r="AG248" s="1519">
        <f t="shared" si="44"/>
        <v>0</v>
      </c>
      <c r="AH248" s="1499">
        <f t="shared" si="45"/>
        <v>0</v>
      </c>
      <c r="AJ248" s="1499"/>
      <c r="AK248" s="1448"/>
      <c r="AL248" s="1449"/>
      <c r="AM248" s="1449"/>
      <c r="AN248" s="1453"/>
      <c r="AO248" s="1453"/>
      <c r="AP248" s="1451"/>
      <c r="AQ248" s="1507"/>
      <c r="AR248" s="1453"/>
      <c r="AS248" s="1453"/>
      <c r="AT248" s="1453"/>
    </row>
    <row r="249" spans="1:46" s="1416" customFormat="1" ht="12.75" hidden="1" customHeight="1">
      <c r="A249" s="1458"/>
      <c r="B249" s="1459"/>
      <c r="C249" s="1523" t="s">
        <v>510</v>
      </c>
      <c r="D249" s="1475">
        <v>865406.3</v>
      </c>
      <c r="E249" s="1533">
        <v>38708</v>
      </c>
      <c r="F249" s="1533">
        <v>39082</v>
      </c>
      <c r="G249" s="1523">
        <v>5073</v>
      </c>
      <c r="H249" s="1523"/>
      <c r="I249" s="1523">
        <v>158</v>
      </c>
      <c r="J249" s="1523" t="s">
        <v>382</v>
      </c>
      <c r="K249" s="1523"/>
      <c r="L249" s="1545"/>
      <c r="M249" s="1438"/>
      <c r="N249" s="1545"/>
      <c r="O249" s="1369"/>
      <c r="P249" s="1462"/>
      <c r="Q249" s="1462"/>
      <c r="R249" s="1370"/>
      <c r="S249" s="1358"/>
      <c r="T249" s="1439"/>
      <c r="U249" s="1456"/>
      <c r="V249" s="1371"/>
      <c r="W249" s="1358"/>
      <c r="X249" s="1371"/>
      <c r="Y249" s="1470"/>
      <c r="AB249" s="1544"/>
      <c r="AC249" s="1422"/>
      <c r="AD249" s="1414"/>
      <c r="AE249" s="1423"/>
      <c r="AF249" s="1423">
        <f t="shared" si="43"/>
        <v>0</v>
      </c>
      <c r="AG249" s="1519">
        <f t="shared" si="44"/>
        <v>0</v>
      </c>
      <c r="AH249" s="1499">
        <f t="shared" si="45"/>
        <v>0</v>
      </c>
      <c r="AJ249" s="1499"/>
      <c r="AK249" s="1448"/>
      <c r="AL249" s="1449"/>
      <c r="AM249" s="1449"/>
      <c r="AN249" s="1453"/>
      <c r="AO249" s="1453"/>
      <c r="AP249" s="1451"/>
      <c r="AQ249" s="1507"/>
      <c r="AR249" s="1453"/>
      <c r="AS249" s="1453"/>
      <c r="AT249" s="1453"/>
    </row>
    <row r="250" spans="1:46" s="1416" customFormat="1" ht="12.75" hidden="1" customHeight="1">
      <c r="A250" s="1458"/>
      <c r="B250" s="1459"/>
      <c r="C250" s="1523" t="s">
        <v>511</v>
      </c>
      <c r="D250" s="1475">
        <v>1520000</v>
      </c>
      <c r="E250" s="1533">
        <v>39083</v>
      </c>
      <c r="F250" s="1533">
        <v>39083</v>
      </c>
      <c r="G250" s="1523">
        <v>4042</v>
      </c>
      <c r="H250" s="1523" t="s">
        <v>313</v>
      </c>
      <c r="I250" s="1523">
        <v>71</v>
      </c>
      <c r="J250" s="1523" t="s">
        <v>382</v>
      </c>
      <c r="K250" s="1523" t="s">
        <v>493</v>
      </c>
      <c r="L250" s="1545"/>
      <c r="M250" s="1438"/>
      <c r="N250" s="1545">
        <f>88705.64-88705.64</f>
        <v>0</v>
      </c>
      <c r="O250" s="1369"/>
      <c r="P250" s="1462"/>
      <c r="Q250" s="1462"/>
      <c r="R250" s="1370"/>
      <c r="S250" s="1358"/>
      <c r="T250" s="1439"/>
      <c r="U250" s="1456"/>
      <c r="V250" s="1371"/>
      <c r="W250" s="1358">
        <f>1520000-1520000</f>
        <v>0</v>
      </c>
      <c r="X250" s="1371"/>
      <c r="Y250" s="1470"/>
      <c r="AB250" s="1544"/>
      <c r="AC250" s="1422"/>
      <c r="AD250" s="1414"/>
      <c r="AE250" s="1423"/>
      <c r="AF250" s="1423">
        <f t="shared" si="43"/>
        <v>0</v>
      </c>
      <c r="AG250" s="1519">
        <f t="shared" si="44"/>
        <v>0</v>
      </c>
      <c r="AH250" s="1499">
        <f t="shared" si="45"/>
        <v>0</v>
      </c>
      <c r="AJ250" s="1499"/>
      <c r="AK250" s="1448"/>
      <c r="AL250" s="1449"/>
      <c r="AM250" s="1449"/>
      <c r="AN250" s="1453"/>
      <c r="AO250" s="1453"/>
      <c r="AP250" s="1451"/>
      <c r="AQ250" s="1507"/>
      <c r="AR250" s="1453"/>
      <c r="AS250" s="1453"/>
      <c r="AT250" s="1453"/>
    </row>
    <row r="251" spans="1:46" s="1416" customFormat="1" ht="12.75" customHeight="1">
      <c r="A251" s="1458">
        <v>109</v>
      </c>
      <c r="B251" s="1459">
        <v>2</v>
      </c>
      <c r="C251" s="1523" t="s">
        <v>512</v>
      </c>
      <c r="D251" s="1475">
        <v>267220</v>
      </c>
      <c r="E251" s="1533">
        <v>38708</v>
      </c>
      <c r="F251" s="1533">
        <v>39114</v>
      </c>
      <c r="G251" s="1523">
        <v>554</v>
      </c>
      <c r="H251" s="1523" t="s">
        <v>313</v>
      </c>
      <c r="I251" s="1523">
        <v>46</v>
      </c>
      <c r="J251" s="1523" t="s">
        <v>382</v>
      </c>
      <c r="K251" s="1523" t="s">
        <v>493</v>
      </c>
      <c r="L251" s="1545"/>
      <c r="M251" s="1438"/>
      <c r="N251" s="1545">
        <v>1156.73</v>
      </c>
      <c r="O251" s="1369"/>
      <c r="P251" s="1462"/>
      <c r="Q251" s="1462"/>
      <c r="R251" s="1370"/>
      <c r="S251" s="1358"/>
      <c r="T251" s="1439"/>
      <c r="U251" s="1456"/>
      <c r="V251" s="1371"/>
      <c r="W251" s="1358">
        <f>267220+16339.89</f>
        <v>283559.89</v>
      </c>
      <c r="X251" s="1371"/>
      <c r="Y251" s="1470"/>
      <c r="AB251" s="1544"/>
      <c r="AC251" s="1422"/>
      <c r="AD251" s="1414"/>
      <c r="AE251" s="1423"/>
      <c r="AF251" s="1423">
        <f t="shared" si="43"/>
        <v>1156.73</v>
      </c>
      <c r="AG251" s="1519">
        <f t="shared" si="44"/>
        <v>4.143735317762934E-3</v>
      </c>
      <c r="AH251" s="1499">
        <f t="shared" si="45"/>
        <v>16339.913327686483</v>
      </c>
      <c r="AJ251" s="1499"/>
      <c r="AK251" s="1448" t="s">
        <v>6114</v>
      </c>
      <c r="AL251" s="1449" t="s">
        <v>376</v>
      </c>
      <c r="AM251" s="1449" t="s">
        <v>376</v>
      </c>
      <c r="AN251" s="1453" t="s">
        <v>5532</v>
      </c>
      <c r="AO251" s="1453" t="s">
        <v>5532</v>
      </c>
      <c r="AP251" s="1451" t="s">
        <v>5393</v>
      </c>
      <c r="AQ251" s="1453">
        <v>1156.73</v>
      </c>
      <c r="AR251" s="1453" t="s">
        <v>5539</v>
      </c>
      <c r="AS251" s="1453" t="s">
        <v>5540</v>
      </c>
      <c r="AT251" s="1453" t="s">
        <v>5381</v>
      </c>
    </row>
    <row r="252" spans="1:46" s="1416" customFormat="1" ht="12.75" hidden="1" customHeight="1">
      <c r="A252" s="1458">
        <v>79</v>
      </c>
      <c r="B252" s="1459">
        <v>2</v>
      </c>
      <c r="C252" s="1523" t="s">
        <v>513</v>
      </c>
      <c r="D252" s="1475">
        <v>134400</v>
      </c>
      <c r="E252" s="1533">
        <v>38742</v>
      </c>
      <c r="F252" s="1533">
        <v>39114</v>
      </c>
      <c r="G252" s="1523">
        <v>554</v>
      </c>
      <c r="H252" s="1523" t="s">
        <v>313</v>
      </c>
      <c r="I252" s="1523">
        <v>48</v>
      </c>
      <c r="J252" s="1523" t="s">
        <v>382</v>
      </c>
      <c r="K252" s="1523" t="s">
        <v>493</v>
      </c>
      <c r="L252" s="1545"/>
      <c r="M252" s="1438"/>
      <c r="N252" s="1545">
        <f>314-314</f>
        <v>0</v>
      </c>
      <c r="O252" s="1369"/>
      <c r="P252" s="1462"/>
      <c r="Q252" s="1462"/>
      <c r="R252" s="1370"/>
      <c r="S252" s="1358"/>
      <c r="T252" s="1439"/>
      <c r="U252" s="1456"/>
      <c r="V252" s="1371"/>
      <c r="W252" s="1358">
        <f>134400-134400</f>
        <v>0</v>
      </c>
      <c r="X252" s="1371"/>
      <c r="Y252" s="1470"/>
      <c r="AB252" s="1544"/>
      <c r="AC252" s="1422"/>
      <c r="AD252" s="1414"/>
      <c r="AE252" s="1423"/>
      <c r="AF252" s="1423">
        <f t="shared" si="43"/>
        <v>0</v>
      </c>
      <c r="AG252" s="1519">
        <f t="shared" si="44"/>
        <v>0</v>
      </c>
      <c r="AH252" s="1499">
        <f t="shared" si="45"/>
        <v>0</v>
      </c>
      <c r="AJ252" s="1499"/>
      <c r="AK252" s="1448"/>
      <c r="AL252" s="1449"/>
      <c r="AM252" s="1449"/>
      <c r="AN252" s="1453"/>
      <c r="AO252" s="1453"/>
      <c r="AP252" s="1451"/>
      <c r="AQ252" s="1453"/>
      <c r="AR252" s="1453"/>
      <c r="AS252" s="1453"/>
      <c r="AT252" s="1453"/>
    </row>
    <row r="253" spans="1:46" s="1416" customFormat="1" ht="12.75" customHeight="1">
      <c r="A253" s="1458">
        <v>69</v>
      </c>
      <c r="B253" s="1459" t="s">
        <v>514</v>
      </c>
      <c r="C253" s="1523" t="s">
        <v>515</v>
      </c>
      <c r="D253" s="1475">
        <v>300280</v>
      </c>
      <c r="E253" s="1533">
        <v>38708</v>
      </c>
      <c r="F253" s="1533">
        <v>39114</v>
      </c>
      <c r="G253" s="1523">
        <v>554</v>
      </c>
      <c r="H253" s="1523" t="s">
        <v>313</v>
      </c>
      <c r="I253" s="1523">
        <v>36</v>
      </c>
      <c r="J253" s="1523" t="s">
        <v>382</v>
      </c>
      <c r="K253" s="1523" t="s">
        <v>493</v>
      </c>
      <c r="L253" s="1545"/>
      <c r="M253" s="1438"/>
      <c r="N253" s="1545">
        <v>432</v>
      </c>
      <c r="O253" s="1369"/>
      <c r="P253" s="1462"/>
      <c r="Q253" s="1462"/>
      <c r="R253" s="1370"/>
      <c r="S253" s="1358"/>
      <c r="T253" s="1439"/>
      <c r="U253" s="1456"/>
      <c r="V253" s="1371"/>
      <c r="W253" s="1358">
        <f>300280+6102.4</f>
        <v>306382.40000000002</v>
      </c>
      <c r="X253" s="1371"/>
      <c r="Y253" s="1470"/>
      <c r="AB253" s="1544"/>
      <c r="AC253" s="1422"/>
      <c r="AD253" s="1414"/>
      <c r="AE253" s="1423"/>
      <c r="AF253" s="1423">
        <f t="shared" si="43"/>
        <v>432</v>
      </c>
      <c r="AG253" s="1519">
        <f t="shared" si="44"/>
        <v>1.5475466679982254E-3</v>
      </c>
      <c r="AH253" s="1499">
        <f t="shared" si="45"/>
        <v>6102.4115891872434</v>
      </c>
      <c r="AJ253" s="1499"/>
      <c r="AK253" s="1448" t="s">
        <v>6115</v>
      </c>
      <c r="AL253" s="1449" t="s">
        <v>376</v>
      </c>
      <c r="AM253" s="1449" t="s">
        <v>376</v>
      </c>
      <c r="AN253" s="1453" t="s">
        <v>5532</v>
      </c>
      <c r="AO253" s="1453" t="s">
        <v>5532</v>
      </c>
      <c r="AP253" s="1451" t="s">
        <v>5393</v>
      </c>
      <c r="AQ253" s="1507">
        <v>432</v>
      </c>
      <c r="AR253" s="1453" t="s">
        <v>5541</v>
      </c>
      <c r="AS253" s="1453" t="s">
        <v>5542</v>
      </c>
      <c r="AT253" s="1453" t="s">
        <v>5381</v>
      </c>
    </row>
    <row r="254" spans="1:46" s="1416" customFormat="1" ht="12.75" customHeight="1">
      <c r="A254" s="1458">
        <v>110</v>
      </c>
      <c r="B254" s="1459">
        <v>2</v>
      </c>
      <c r="C254" s="1523" t="s">
        <v>516</v>
      </c>
      <c r="D254" s="1475">
        <v>208000</v>
      </c>
      <c r="E254" s="1533">
        <v>38722</v>
      </c>
      <c r="F254" s="1533">
        <v>39114</v>
      </c>
      <c r="G254" s="1523">
        <v>554</v>
      </c>
      <c r="H254" s="1523" t="s">
        <v>313</v>
      </c>
      <c r="I254" s="1523">
        <v>35</v>
      </c>
      <c r="J254" s="1523" t="s">
        <v>382</v>
      </c>
      <c r="K254" s="1523" t="s">
        <v>493</v>
      </c>
      <c r="L254" s="1545"/>
      <c r="M254" s="1438"/>
      <c r="N254" s="1545">
        <v>894.56</v>
      </c>
      <c r="O254" s="1369"/>
      <c r="P254" s="1462"/>
      <c r="Q254" s="1462"/>
      <c r="R254" s="1370"/>
      <c r="S254" s="1358"/>
      <c r="T254" s="1439"/>
      <c r="U254" s="1456"/>
      <c r="V254" s="1371"/>
      <c r="W254" s="1358">
        <f>208000+12636.49</f>
        <v>220636.49</v>
      </c>
      <c r="X254" s="1371"/>
      <c r="Y254" s="1470"/>
      <c r="AB254" s="1544"/>
      <c r="AC254" s="1422"/>
      <c r="AD254" s="1414"/>
      <c r="AE254" s="1423"/>
      <c r="AF254" s="1423">
        <f t="shared" si="43"/>
        <v>894.56</v>
      </c>
      <c r="AG254" s="1519">
        <f t="shared" si="44"/>
        <v>3.2045679336215106E-3</v>
      </c>
      <c r="AH254" s="1499">
        <f t="shared" si="45"/>
        <v>12636.512294498474</v>
      </c>
      <c r="AJ254" s="1499"/>
      <c r="AK254" s="1448" t="s">
        <v>6116</v>
      </c>
      <c r="AL254" s="1449" t="s">
        <v>376</v>
      </c>
      <c r="AM254" s="1449" t="s">
        <v>376</v>
      </c>
      <c r="AN254" s="1453" t="s">
        <v>5532</v>
      </c>
      <c r="AO254" s="1453" t="s">
        <v>5532</v>
      </c>
      <c r="AP254" s="1451" t="s">
        <v>5393</v>
      </c>
      <c r="AQ254" s="1453">
        <v>894.56</v>
      </c>
      <c r="AR254" s="1453" t="s">
        <v>5543</v>
      </c>
      <c r="AS254" s="1453" t="s">
        <v>5544</v>
      </c>
      <c r="AT254" s="1453" t="s">
        <v>5381</v>
      </c>
    </row>
    <row r="255" spans="1:46" s="1416" customFormat="1" ht="12.75" hidden="1" customHeight="1">
      <c r="A255" s="1458">
        <v>104</v>
      </c>
      <c r="B255" s="1459">
        <v>2</v>
      </c>
      <c r="C255" s="1523" t="s">
        <v>517</v>
      </c>
      <c r="D255" s="1475">
        <v>303400</v>
      </c>
      <c r="E255" s="1533">
        <v>38722</v>
      </c>
      <c r="F255" s="1533">
        <v>39114</v>
      </c>
      <c r="G255" s="1523">
        <v>554</v>
      </c>
      <c r="H255" s="1523" t="s">
        <v>313</v>
      </c>
      <c r="I255" s="1523">
        <v>52</v>
      </c>
      <c r="J255" s="1523" t="s">
        <v>382</v>
      </c>
      <c r="K255" s="1523" t="s">
        <v>493</v>
      </c>
      <c r="L255" s="1545"/>
      <c r="M255" s="1438"/>
      <c r="N255" s="1545">
        <f>938.34-938.34</f>
        <v>0</v>
      </c>
      <c r="O255" s="1369"/>
      <c r="P255" s="1462"/>
      <c r="Q255" s="1462"/>
      <c r="R255" s="1370"/>
      <c r="S255" s="1358"/>
      <c r="T255" s="1439"/>
      <c r="U255" s="1456"/>
      <c r="V255" s="1371"/>
      <c r="W255" s="1358">
        <f>303400-303400</f>
        <v>0</v>
      </c>
      <c r="X255" s="1371"/>
      <c r="Y255" s="1470"/>
      <c r="AB255" s="1544"/>
      <c r="AC255" s="1422"/>
      <c r="AD255" s="1414"/>
      <c r="AE255" s="1423"/>
      <c r="AF255" s="1423">
        <f t="shared" si="43"/>
        <v>0</v>
      </c>
      <c r="AG255" s="1519">
        <f t="shared" si="44"/>
        <v>0</v>
      </c>
      <c r="AH255" s="1499">
        <f t="shared" si="45"/>
        <v>0</v>
      </c>
      <c r="AJ255" s="1499"/>
      <c r="AK255" s="1448"/>
      <c r="AL255" s="1449"/>
      <c r="AM255" s="1449"/>
      <c r="AN255" s="1453"/>
      <c r="AO255" s="1453"/>
      <c r="AP255" s="1451"/>
      <c r="AQ255" s="1453"/>
      <c r="AR255" s="1453"/>
      <c r="AS255" s="1453"/>
      <c r="AT255" s="1453"/>
    </row>
    <row r="256" spans="1:46" s="1416" customFormat="1" ht="12.75" hidden="1" customHeight="1">
      <c r="A256" s="1458">
        <v>104</v>
      </c>
      <c r="B256" s="1459">
        <v>3</v>
      </c>
      <c r="C256" s="1523" t="s">
        <v>518</v>
      </c>
      <c r="D256" s="1475">
        <v>223000</v>
      </c>
      <c r="E256" s="1533">
        <v>38722</v>
      </c>
      <c r="F256" s="1533">
        <v>39114</v>
      </c>
      <c r="G256" s="1523">
        <v>554</v>
      </c>
      <c r="H256" s="1523" t="s">
        <v>313</v>
      </c>
      <c r="I256" s="1523">
        <v>49</v>
      </c>
      <c r="J256" s="1523" t="s">
        <v>382</v>
      </c>
      <c r="K256" s="1523" t="s">
        <v>493</v>
      </c>
      <c r="L256" s="1545"/>
      <c r="M256" s="1438"/>
      <c r="N256" s="1545">
        <f>792.49-792.49</f>
        <v>0</v>
      </c>
      <c r="O256" s="1369"/>
      <c r="P256" s="1462"/>
      <c r="Q256" s="1462"/>
      <c r="R256" s="1370"/>
      <c r="S256" s="1358"/>
      <c r="T256" s="1439"/>
      <c r="U256" s="1456"/>
      <c r="V256" s="1371"/>
      <c r="W256" s="1358">
        <f>223000-223000</f>
        <v>0</v>
      </c>
      <c r="X256" s="1371"/>
      <c r="Y256" s="1470"/>
      <c r="AB256" s="1544"/>
      <c r="AC256" s="1422"/>
      <c r="AD256" s="1414"/>
      <c r="AE256" s="1423"/>
      <c r="AF256" s="1423">
        <f t="shared" si="43"/>
        <v>0</v>
      </c>
      <c r="AG256" s="1519">
        <f t="shared" si="44"/>
        <v>0</v>
      </c>
      <c r="AH256" s="1499">
        <f t="shared" si="45"/>
        <v>0</v>
      </c>
      <c r="AJ256" s="1499"/>
      <c r="AK256" s="1448"/>
      <c r="AL256" s="1449"/>
      <c r="AM256" s="1449"/>
      <c r="AN256" s="1453"/>
      <c r="AO256" s="1453"/>
      <c r="AP256" s="1451"/>
      <c r="AQ256" s="1453"/>
      <c r="AR256" s="1453"/>
      <c r="AS256" s="1453"/>
      <c r="AT256" s="1453"/>
    </row>
    <row r="257" spans="1:46" s="1416" customFormat="1" ht="12.75" hidden="1" customHeight="1">
      <c r="A257" s="1458">
        <v>105</v>
      </c>
      <c r="B257" s="1459">
        <v>1</v>
      </c>
      <c r="C257" s="1523" t="s">
        <v>519</v>
      </c>
      <c r="D257" s="1475">
        <v>220000</v>
      </c>
      <c r="E257" s="1533">
        <v>38722</v>
      </c>
      <c r="F257" s="1533">
        <v>39114</v>
      </c>
      <c r="G257" s="1523">
        <v>554</v>
      </c>
      <c r="H257" s="1523" t="s">
        <v>313</v>
      </c>
      <c r="I257" s="1523">
        <v>53</v>
      </c>
      <c r="J257" s="1523" t="s">
        <v>382</v>
      </c>
      <c r="K257" s="1523" t="s">
        <v>493</v>
      </c>
      <c r="L257" s="1545"/>
      <c r="M257" s="1438"/>
      <c r="N257" s="1545">
        <f>797.95-797.95</f>
        <v>0</v>
      </c>
      <c r="O257" s="1369"/>
      <c r="P257" s="1462"/>
      <c r="Q257" s="1462"/>
      <c r="R257" s="1370"/>
      <c r="S257" s="1358"/>
      <c r="T257" s="1439"/>
      <c r="U257" s="1456"/>
      <c r="V257" s="1371"/>
      <c r="W257" s="1358">
        <f>220000-220000</f>
        <v>0</v>
      </c>
      <c r="X257" s="1371"/>
      <c r="Y257" s="1470"/>
      <c r="AB257" s="1544"/>
      <c r="AC257" s="1422"/>
      <c r="AD257" s="1414"/>
      <c r="AE257" s="1423"/>
      <c r="AF257" s="1423">
        <f t="shared" si="43"/>
        <v>0</v>
      </c>
      <c r="AG257" s="1519">
        <f t="shared" si="44"/>
        <v>0</v>
      </c>
      <c r="AH257" s="1499">
        <f t="shared" si="45"/>
        <v>0</v>
      </c>
      <c r="AJ257" s="1499"/>
      <c r="AK257" s="1448"/>
      <c r="AL257" s="1449"/>
      <c r="AM257" s="1449"/>
      <c r="AN257" s="1453"/>
      <c r="AO257" s="1453"/>
      <c r="AP257" s="1451"/>
      <c r="AQ257" s="1453"/>
      <c r="AR257" s="1453"/>
      <c r="AS257" s="1453"/>
      <c r="AT257" s="1453"/>
    </row>
    <row r="258" spans="1:46" s="1416" customFormat="1" ht="12.75" customHeight="1">
      <c r="A258" s="1458">
        <v>106</v>
      </c>
      <c r="B258" s="1459">
        <v>1</v>
      </c>
      <c r="C258" s="1523" t="s">
        <v>520</v>
      </c>
      <c r="D258" s="1475">
        <v>378995.8</v>
      </c>
      <c r="E258" s="1533">
        <v>38722</v>
      </c>
      <c r="F258" s="1533">
        <v>39114</v>
      </c>
      <c r="G258" s="1523">
        <v>554</v>
      </c>
      <c r="H258" s="1523" t="s">
        <v>313</v>
      </c>
      <c r="I258" s="1523">
        <v>34</v>
      </c>
      <c r="J258" s="1523" t="s">
        <v>382</v>
      </c>
      <c r="K258" s="1523" t="s">
        <v>493</v>
      </c>
      <c r="L258" s="1545"/>
      <c r="M258" s="1438"/>
      <c r="N258" s="1545">
        <v>850.38</v>
      </c>
      <c r="O258" s="1369"/>
      <c r="P258" s="1462"/>
      <c r="Q258" s="1462"/>
      <c r="R258" s="1370"/>
      <c r="S258" s="1358"/>
      <c r="T258" s="1439"/>
      <c r="U258" s="1456"/>
      <c r="V258" s="1371"/>
      <c r="W258" s="1358">
        <f>378995.8+12012.41</f>
        <v>391008.20999999996</v>
      </c>
      <c r="X258" s="1371"/>
      <c r="Y258" s="1470"/>
      <c r="AB258" s="1544"/>
      <c r="AC258" s="1422"/>
      <c r="AD258" s="1414"/>
      <c r="AE258" s="1423"/>
      <c r="AF258" s="1423">
        <f t="shared" si="43"/>
        <v>850.38</v>
      </c>
      <c r="AG258" s="1519">
        <f t="shared" si="44"/>
        <v>3.0463026285470624E-3</v>
      </c>
      <c r="AH258" s="1499">
        <f t="shared" si="45"/>
        <v>12012.427701882056</v>
      </c>
      <c r="AJ258" s="1499"/>
      <c r="AK258" s="1448" t="s">
        <v>6117</v>
      </c>
      <c r="AL258" s="1449" t="s">
        <v>376</v>
      </c>
      <c r="AM258" s="1449" t="s">
        <v>376</v>
      </c>
      <c r="AN258" s="1453" t="s">
        <v>5532</v>
      </c>
      <c r="AO258" s="1453" t="s">
        <v>5532</v>
      </c>
      <c r="AP258" s="1451" t="s">
        <v>5393</v>
      </c>
      <c r="AQ258" s="1453">
        <v>850.38</v>
      </c>
      <c r="AR258" s="1453" t="s">
        <v>5545</v>
      </c>
      <c r="AS258" s="1453" t="s">
        <v>5546</v>
      </c>
      <c r="AT258" s="1453" t="s">
        <v>5381</v>
      </c>
    </row>
    <row r="259" spans="1:46" s="1416" customFormat="1" ht="12.75" customHeight="1">
      <c r="A259" s="1458">
        <v>106</v>
      </c>
      <c r="B259" s="1459">
        <v>7</v>
      </c>
      <c r="C259" s="1523" t="s">
        <v>521</v>
      </c>
      <c r="D259" s="1475">
        <v>437000</v>
      </c>
      <c r="E259" s="1533">
        <v>38722</v>
      </c>
      <c r="F259" s="1533">
        <v>39114</v>
      </c>
      <c r="G259" s="1523">
        <v>554</v>
      </c>
      <c r="H259" s="1523" t="s">
        <v>313</v>
      </c>
      <c r="I259" s="1523">
        <v>33</v>
      </c>
      <c r="J259" s="1523" t="s">
        <v>382</v>
      </c>
      <c r="K259" s="1523" t="s">
        <v>493</v>
      </c>
      <c r="L259" s="1545"/>
      <c r="M259" s="1438"/>
      <c r="N259" s="1545">
        <v>1514.02</v>
      </c>
      <c r="O259" s="1369"/>
      <c r="P259" s="1462"/>
      <c r="Q259" s="1462"/>
      <c r="R259" s="1370"/>
      <c r="S259" s="1358"/>
      <c r="T259" s="1439"/>
      <c r="U259" s="1456"/>
      <c r="V259" s="1371"/>
      <c r="W259" s="1358">
        <f>437000+21386.94</f>
        <v>458386.94</v>
      </c>
      <c r="X259" s="1371"/>
      <c r="Y259" s="1470"/>
      <c r="AB259" s="1544"/>
      <c r="AC259" s="1422"/>
      <c r="AD259" s="1414"/>
      <c r="AE259" s="1423"/>
      <c r="AF259" s="1423">
        <f t="shared" si="43"/>
        <v>1514.02</v>
      </c>
      <c r="AG259" s="1519">
        <f t="shared" si="44"/>
        <v>5.4236495515802624E-3</v>
      </c>
      <c r="AH259" s="1499">
        <f t="shared" si="45"/>
        <v>21386.974986715904</v>
      </c>
      <c r="AJ259" s="1499"/>
      <c r="AK259" s="1448" t="s">
        <v>6118</v>
      </c>
      <c r="AL259" s="1449" t="s">
        <v>376</v>
      </c>
      <c r="AM259" s="1449" t="s">
        <v>376</v>
      </c>
      <c r="AN259" s="1453" t="s">
        <v>5532</v>
      </c>
      <c r="AO259" s="1453" t="s">
        <v>5532</v>
      </c>
      <c r="AP259" s="1451" t="s">
        <v>5393</v>
      </c>
      <c r="AQ259" s="1452">
        <v>1514.02</v>
      </c>
      <c r="AR259" s="1453" t="s">
        <v>5547</v>
      </c>
      <c r="AS259" s="1453" t="s">
        <v>5548</v>
      </c>
      <c r="AT259" s="1453" t="s">
        <v>5381</v>
      </c>
    </row>
    <row r="260" spans="1:46" s="1416" customFormat="1" ht="12.75" hidden="1" customHeight="1">
      <c r="A260" s="1458">
        <v>65</v>
      </c>
      <c r="B260" s="1459">
        <v>3</v>
      </c>
      <c r="C260" s="1523" t="s">
        <v>522</v>
      </c>
      <c r="D260" s="1475">
        <v>87080</v>
      </c>
      <c r="E260" s="1533">
        <v>38708</v>
      </c>
      <c r="F260" s="1533">
        <v>39114</v>
      </c>
      <c r="G260" s="1523">
        <v>554</v>
      </c>
      <c r="H260" s="1523" t="s">
        <v>313</v>
      </c>
      <c r="I260" s="1523">
        <v>23</v>
      </c>
      <c r="J260" s="1523" t="s">
        <v>382</v>
      </c>
      <c r="K260" s="1523" t="s">
        <v>493</v>
      </c>
      <c r="L260" s="1545"/>
      <c r="M260" s="1438"/>
      <c r="N260" s="1545">
        <f>427-427</f>
        <v>0</v>
      </c>
      <c r="O260" s="1369"/>
      <c r="P260" s="1462"/>
      <c r="Q260" s="1462"/>
      <c r="R260" s="1370"/>
      <c r="S260" s="1358"/>
      <c r="T260" s="1439"/>
      <c r="U260" s="1456"/>
      <c r="V260" s="1371"/>
      <c r="W260" s="1358">
        <f>87080-87080</f>
        <v>0</v>
      </c>
      <c r="X260" s="1371"/>
      <c r="Y260" s="1470"/>
      <c r="AB260" s="1544"/>
      <c r="AC260" s="1422"/>
      <c r="AD260" s="1414"/>
      <c r="AE260" s="1423"/>
      <c r="AF260" s="1423">
        <f t="shared" si="43"/>
        <v>0</v>
      </c>
      <c r="AG260" s="1519">
        <f t="shared" si="44"/>
        <v>0</v>
      </c>
      <c r="AH260" s="1499">
        <f t="shared" si="45"/>
        <v>0</v>
      </c>
      <c r="AJ260" s="1499"/>
      <c r="AK260" s="1448"/>
      <c r="AL260" s="1449"/>
      <c r="AM260" s="1449"/>
      <c r="AN260" s="1453"/>
      <c r="AO260" s="1453"/>
      <c r="AP260" s="1451"/>
      <c r="AQ260" s="1452"/>
      <c r="AR260" s="1453"/>
      <c r="AS260" s="1453"/>
      <c r="AT260" s="1453"/>
    </row>
    <row r="261" spans="1:46" s="1416" customFormat="1" ht="12.75" hidden="1" customHeight="1">
      <c r="A261" s="1458">
        <v>70</v>
      </c>
      <c r="B261" s="1459" t="s">
        <v>523</v>
      </c>
      <c r="C261" s="1523" t="s">
        <v>524</v>
      </c>
      <c r="D261" s="1475">
        <v>123480</v>
      </c>
      <c r="E261" s="1533">
        <v>38708</v>
      </c>
      <c r="F261" s="1533">
        <v>39114</v>
      </c>
      <c r="G261" s="1523">
        <v>554</v>
      </c>
      <c r="H261" s="1523" t="s">
        <v>313</v>
      </c>
      <c r="I261" s="1523">
        <v>19</v>
      </c>
      <c r="J261" s="1523" t="s">
        <v>382</v>
      </c>
      <c r="K261" s="1523" t="s">
        <v>493</v>
      </c>
      <c r="L261" s="1545"/>
      <c r="M261" s="1438"/>
      <c r="N261" s="1545">
        <f>427.7-427.7</f>
        <v>0</v>
      </c>
      <c r="O261" s="1369"/>
      <c r="P261" s="1462"/>
      <c r="Q261" s="1462"/>
      <c r="R261" s="1370"/>
      <c r="S261" s="1358"/>
      <c r="T261" s="1439"/>
      <c r="U261" s="1456"/>
      <c r="V261" s="1371"/>
      <c r="W261" s="1358">
        <f>123480-123480</f>
        <v>0</v>
      </c>
      <c r="X261" s="1371"/>
      <c r="Y261" s="1470"/>
      <c r="AB261" s="1544"/>
      <c r="AC261" s="1422"/>
      <c r="AD261" s="1414"/>
      <c r="AE261" s="1423"/>
      <c r="AF261" s="1423">
        <f t="shared" si="43"/>
        <v>0</v>
      </c>
      <c r="AG261" s="1519">
        <f t="shared" si="44"/>
        <v>0</v>
      </c>
      <c r="AH261" s="1499">
        <f t="shared" si="45"/>
        <v>0</v>
      </c>
      <c r="AJ261" s="1499"/>
      <c r="AK261" s="1448"/>
      <c r="AL261" s="1449"/>
      <c r="AM261" s="1449"/>
      <c r="AN261" s="1453"/>
      <c r="AO261" s="1453"/>
      <c r="AP261" s="1451"/>
      <c r="AQ261" s="1452"/>
      <c r="AR261" s="1453"/>
      <c r="AS261" s="1453"/>
      <c r="AT261" s="1453"/>
    </row>
    <row r="262" spans="1:46" s="1416" customFormat="1" ht="12.75" customHeight="1">
      <c r="A262" s="1458">
        <v>69</v>
      </c>
      <c r="B262" s="1459" t="s">
        <v>525</v>
      </c>
      <c r="C262" s="1523" t="s">
        <v>526</v>
      </c>
      <c r="D262" s="1475">
        <v>119296</v>
      </c>
      <c r="E262" s="1533">
        <v>38708</v>
      </c>
      <c r="F262" s="1533">
        <v>39114</v>
      </c>
      <c r="G262" s="1523">
        <v>554</v>
      </c>
      <c r="H262" s="1523" t="s">
        <v>313</v>
      </c>
      <c r="I262" s="1523">
        <v>51</v>
      </c>
      <c r="J262" s="1523" t="s">
        <v>382</v>
      </c>
      <c r="K262" s="1523" t="s">
        <v>493</v>
      </c>
      <c r="L262" s="1545"/>
      <c r="M262" s="1438"/>
      <c r="N262" s="1545">
        <v>400</v>
      </c>
      <c r="O262" s="1369"/>
      <c r="P262" s="1462"/>
      <c r="Q262" s="1462"/>
      <c r="R262" s="1370"/>
      <c r="S262" s="1358"/>
      <c r="T262" s="1439"/>
      <c r="U262" s="1456"/>
      <c r="V262" s="1371"/>
      <c r="W262" s="1358">
        <f>119296+5650.37</f>
        <v>124946.37</v>
      </c>
      <c r="X262" s="1371"/>
      <c r="Y262" s="1470"/>
      <c r="AB262" s="1544"/>
      <c r="AC262" s="1422"/>
      <c r="AD262" s="1414"/>
      <c r="AE262" s="1423"/>
      <c r="AF262" s="1423">
        <f t="shared" si="43"/>
        <v>400</v>
      </c>
      <c r="AG262" s="1519">
        <f t="shared" si="44"/>
        <v>1.4329135814798385E-3</v>
      </c>
      <c r="AH262" s="1499">
        <f t="shared" si="45"/>
        <v>5650.3811010993004</v>
      </c>
      <c r="AJ262" s="1499"/>
      <c r="AK262" s="1448" t="s">
        <v>6119</v>
      </c>
      <c r="AL262" s="1449" t="s">
        <v>376</v>
      </c>
      <c r="AM262" s="1449" t="s">
        <v>376</v>
      </c>
      <c r="AN262" s="1453" t="s">
        <v>5532</v>
      </c>
      <c r="AO262" s="1453" t="s">
        <v>5532</v>
      </c>
      <c r="AP262" s="1451" t="s">
        <v>5393</v>
      </c>
      <c r="AQ262" s="1507">
        <v>400</v>
      </c>
      <c r="AR262" s="1453" t="s">
        <v>5549</v>
      </c>
      <c r="AS262" s="1453" t="s">
        <v>5550</v>
      </c>
      <c r="AT262" s="1453" t="s">
        <v>5381</v>
      </c>
    </row>
    <row r="263" spans="1:46" s="1416" customFormat="1" ht="12.75" customHeight="1">
      <c r="A263" s="1458">
        <v>79</v>
      </c>
      <c r="B263" s="1459" t="s">
        <v>527</v>
      </c>
      <c r="C263" s="1523" t="s">
        <v>528</v>
      </c>
      <c r="D263" s="1475">
        <v>285152</v>
      </c>
      <c r="E263" s="1533">
        <v>38708</v>
      </c>
      <c r="F263" s="1533">
        <v>39114</v>
      </c>
      <c r="G263" s="1523">
        <v>554</v>
      </c>
      <c r="H263" s="1523" t="s">
        <v>313</v>
      </c>
      <c r="I263" s="1523">
        <v>27</v>
      </c>
      <c r="J263" s="1523" t="s">
        <v>382</v>
      </c>
      <c r="K263" s="1523" t="s">
        <v>493</v>
      </c>
      <c r="L263" s="1545"/>
      <c r="M263" s="1438"/>
      <c r="N263" s="1545">
        <v>875</v>
      </c>
      <c r="O263" s="1369"/>
      <c r="P263" s="1462"/>
      <c r="Q263" s="1462"/>
      <c r="R263" s="1370"/>
      <c r="S263" s="1358"/>
      <c r="T263" s="1439"/>
      <c r="U263" s="1456"/>
      <c r="V263" s="1371"/>
      <c r="W263" s="1358">
        <f>285152+12360.19</f>
        <v>297512.19</v>
      </c>
      <c r="X263" s="1371"/>
      <c r="Y263" s="1470"/>
      <c r="AB263" s="1544"/>
      <c r="AC263" s="1422"/>
      <c r="AD263" s="1414"/>
      <c r="AE263" s="1423"/>
      <c r="AF263" s="1423">
        <f t="shared" si="43"/>
        <v>875</v>
      </c>
      <c r="AG263" s="1519">
        <f t="shared" si="44"/>
        <v>3.1344984594871466E-3</v>
      </c>
      <c r="AH263" s="1499">
        <f t="shared" si="45"/>
        <v>12360.208658654718</v>
      </c>
      <c r="AJ263" s="1499"/>
      <c r="AK263" s="1448" t="s">
        <v>6120</v>
      </c>
      <c r="AL263" s="1449" t="s">
        <v>376</v>
      </c>
      <c r="AM263" s="1449" t="s">
        <v>376</v>
      </c>
      <c r="AN263" s="1450" t="s">
        <v>5532</v>
      </c>
      <c r="AO263" s="1450" t="s">
        <v>5532</v>
      </c>
      <c r="AP263" s="1451" t="s">
        <v>5393</v>
      </c>
      <c r="AQ263" s="1507">
        <v>875</v>
      </c>
      <c r="AR263" s="1453" t="s">
        <v>5551</v>
      </c>
      <c r="AS263" s="1453" t="s">
        <v>5552</v>
      </c>
      <c r="AT263" s="1453" t="s">
        <v>5381</v>
      </c>
    </row>
    <row r="264" spans="1:46" s="1416" customFormat="1" ht="12.75" hidden="1" customHeight="1">
      <c r="A264" s="1458"/>
      <c r="B264" s="1459"/>
      <c r="C264" s="1523" t="s">
        <v>529</v>
      </c>
      <c r="D264" s="1475">
        <v>1180037.1599999999</v>
      </c>
      <c r="E264" s="1533">
        <v>39224</v>
      </c>
      <c r="F264" s="1533">
        <v>39263</v>
      </c>
      <c r="G264" s="1523"/>
      <c r="H264" s="1523"/>
      <c r="I264" s="1523">
        <v>24</v>
      </c>
      <c r="J264" s="1523" t="s">
        <v>382</v>
      </c>
      <c r="K264" s="1523" t="s">
        <v>493</v>
      </c>
      <c r="L264" s="1545"/>
      <c r="M264" s="1438"/>
      <c r="N264" s="1545">
        <f>43705.08-43705.08</f>
        <v>0</v>
      </c>
      <c r="O264" s="1369"/>
      <c r="P264" s="1462"/>
      <c r="Q264" s="1462"/>
      <c r="R264" s="1370"/>
      <c r="S264" s="1358"/>
      <c r="T264" s="1439"/>
      <c r="U264" s="1456"/>
      <c r="V264" s="1371"/>
      <c r="W264" s="1358">
        <f>1180037.16+60014+18137+21456.71+3176.66+534462.87-1817284.4</f>
        <v>0</v>
      </c>
      <c r="X264" s="1371"/>
      <c r="Y264" s="1470"/>
      <c r="AB264" s="1544"/>
      <c r="AC264" s="1422"/>
      <c r="AD264" s="1414"/>
      <c r="AE264" s="1423"/>
      <c r="AF264" s="1423">
        <f t="shared" si="43"/>
        <v>0</v>
      </c>
      <c r="AG264" s="1519">
        <f t="shared" si="44"/>
        <v>0</v>
      </c>
      <c r="AH264" s="1499">
        <f t="shared" si="45"/>
        <v>0</v>
      </c>
      <c r="AJ264" s="1499"/>
      <c r="AK264" s="1448"/>
      <c r="AL264" s="1449"/>
      <c r="AM264" s="1449"/>
      <c r="AN264" s="1450"/>
      <c r="AO264" s="1450"/>
      <c r="AP264" s="1451"/>
      <c r="AQ264" s="1507"/>
      <c r="AR264" s="1453"/>
      <c r="AS264" s="1453"/>
      <c r="AT264" s="1453"/>
    </row>
    <row r="265" spans="1:46" s="1416" customFormat="1" ht="12.75" hidden="1" customHeight="1">
      <c r="A265" s="1458"/>
      <c r="B265" s="1459"/>
      <c r="C265" s="1523" t="s">
        <v>530</v>
      </c>
      <c r="D265" s="1475">
        <v>1330000</v>
      </c>
      <c r="E265" s="1533">
        <v>39246</v>
      </c>
      <c r="F265" s="1533">
        <v>39263</v>
      </c>
      <c r="G265" s="1523">
        <v>178</v>
      </c>
      <c r="H265" s="1523"/>
      <c r="I265" s="1523">
        <v>137</v>
      </c>
      <c r="J265" s="1523" t="s">
        <v>382</v>
      </c>
      <c r="K265" s="1523" t="s">
        <v>493</v>
      </c>
      <c r="L265" s="1545"/>
      <c r="M265" s="1438"/>
      <c r="N265" s="1545">
        <f>88754.89-88754.89</f>
        <v>0</v>
      </c>
      <c r="O265" s="1369"/>
      <c r="P265" s="1462"/>
      <c r="Q265" s="1462"/>
      <c r="R265" s="1370"/>
      <c r="S265" s="1358"/>
      <c r="T265" s="1439"/>
      <c r="U265" s="1456"/>
      <c r="V265" s="1371"/>
      <c r="W265" s="1358">
        <f>1330000+37346+12194+11494.18+21456.59+3176.67-1415667.44</f>
        <v>0</v>
      </c>
      <c r="X265" s="1371"/>
      <c r="Y265" s="1470"/>
      <c r="AB265" s="1544"/>
      <c r="AC265" s="1422"/>
      <c r="AD265" s="1414"/>
      <c r="AE265" s="1423"/>
      <c r="AF265" s="1423">
        <f t="shared" si="43"/>
        <v>0</v>
      </c>
      <c r="AG265" s="1519">
        <f t="shared" si="44"/>
        <v>0</v>
      </c>
      <c r="AH265" s="1499">
        <f t="shared" si="45"/>
        <v>0</v>
      </c>
      <c r="AJ265" s="1499"/>
      <c r="AK265" s="1448"/>
      <c r="AL265" s="1449"/>
      <c r="AM265" s="1449"/>
      <c r="AN265" s="1450"/>
      <c r="AO265" s="1450"/>
      <c r="AP265" s="1451"/>
      <c r="AQ265" s="1507"/>
      <c r="AR265" s="1453"/>
      <c r="AS265" s="1453"/>
      <c r="AT265" s="1453"/>
    </row>
    <row r="266" spans="1:46" s="1416" customFormat="1" ht="12.75" hidden="1" customHeight="1">
      <c r="A266" s="1458"/>
      <c r="B266" s="1459"/>
      <c r="C266" s="1523" t="s">
        <v>531</v>
      </c>
      <c r="D266" s="1475">
        <v>1900000</v>
      </c>
      <c r="E266" s="1533">
        <v>39224</v>
      </c>
      <c r="F266" s="1533">
        <v>39263</v>
      </c>
      <c r="G266" s="1523">
        <v>117</v>
      </c>
      <c r="H266" s="1523"/>
      <c r="I266" s="1523">
        <v>10073</v>
      </c>
      <c r="J266" s="1523" t="s">
        <v>382</v>
      </c>
      <c r="K266" s="1523" t="s">
        <v>493</v>
      </c>
      <c r="L266" s="1545"/>
      <c r="M266" s="1438"/>
      <c r="N266" s="1545">
        <f>88705.64-88705.64</f>
        <v>0</v>
      </c>
      <c r="O266" s="1369"/>
      <c r="P266" s="1462"/>
      <c r="Q266" s="1462"/>
      <c r="R266" s="1370"/>
      <c r="S266" s="1358"/>
      <c r="T266" s="1439"/>
      <c r="U266" s="1456"/>
      <c r="V266" s="1371"/>
      <c r="W266" s="1358">
        <f>1900000+62200+19669+21456.7+3176.67-2006502.37</f>
        <v>0</v>
      </c>
      <c r="X266" s="1371"/>
      <c r="Y266" s="1470"/>
      <c r="AB266" s="1544"/>
      <c r="AC266" s="1422"/>
      <c r="AD266" s="1414"/>
      <c r="AE266" s="1423"/>
      <c r="AF266" s="1423">
        <f t="shared" si="43"/>
        <v>0</v>
      </c>
      <c r="AG266" s="1519">
        <f t="shared" si="44"/>
        <v>0</v>
      </c>
      <c r="AH266" s="1499">
        <f t="shared" si="45"/>
        <v>0</v>
      </c>
      <c r="AJ266" s="1499"/>
      <c r="AK266" s="1448"/>
      <c r="AL266" s="1449"/>
      <c r="AM266" s="1449"/>
      <c r="AN266" s="1450"/>
      <c r="AO266" s="1450"/>
      <c r="AP266" s="1451"/>
      <c r="AQ266" s="1507"/>
      <c r="AR266" s="1453"/>
      <c r="AS266" s="1453"/>
      <c r="AT266" s="1453"/>
    </row>
    <row r="267" spans="1:46" s="1416" customFormat="1" ht="12.75" customHeight="1">
      <c r="A267" s="1458"/>
      <c r="B267" s="1459"/>
      <c r="C267" s="1523" t="s">
        <v>532</v>
      </c>
      <c r="D267" s="1475">
        <v>1000000</v>
      </c>
      <c r="E267" s="1533">
        <v>39417</v>
      </c>
      <c r="F267" s="1533">
        <v>39479</v>
      </c>
      <c r="G267" s="1523">
        <v>8950</v>
      </c>
      <c r="H267" s="1523"/>
      <c r="I267" s="1523"/>
      <c r="J267" s="1523" t="s">
        <v>533</v>
      </c>
      <c r="K267" s="1523" t="s">
        <v>493</v>
      </c>
      <c r="L267" s="1545"/>
      <c r="M267" s="1438"/>
      <c r="N267" s="1545">
        <f>333313.727-60000-2423.9</f>
        <v>270889.82699999999</v>
      </c>
      <c r="O267" s="1369"/>
      <c r="P267" s="1462"/>
      <c r="Q267" s="1462"/>
      <c r="R267" s="1370"/>
      <c r="S267" s="1358"/>
      <c r="T267" s="1439"/>
      <c r="U267" s="1456"/>
      <c r="V267" s="1371"/>
      <c r="W267" s="1358">
        <f>1000000+20800+1182685.01+33660-2237145.01+45211.19+1834713.29+3764675.19</f>
        <v>5644599.6699999999</v>
      </c>
      <c r="X267" s="1371"/>
      <c r="Y267" s="1470"/>
      <c r="AB267" s="1544"/>
      <c r="AC267" s="1422"/>
      <c r="AD267" s="1414"/>
      <c r="AE267" s="1423"/>
      <c r="AF267" s="1423">
        <f t="shared" si="43"/>
        <v>270889.82699999999</v>
      </c>
      <c r="AG267" s="1519">
        <f t="shared" si="44"/>
        <v>0.97040428048255956</v>
      </c>
      <c r="AH267" s="1499">
        <f t="shared" si="45"/>
        <v>3826576.8974021468</v>
      </c>
      <c r="AJ267" s="1499"/>
      <c r="AK267" s="1448" t="s">
        <v>6121</v>
      </c>
      <c r="AL267" s="1449" t="s">
        <v>376</v>
      </c>
      <c r="AM267" s="1449" t="s">
        <v>376</v>
      </c>
      <c r="AN267" s="1453" t="s">
        <v>5532</v>
      </c>
      <c r="AO267" s="1453" t="s">
        <v>5532</v>
      </c>
      <c r="AP267" s="1451" t="s">
        <v>5393</v>
      </c>
      <c r="AQ267" s="1509">
        <v>270890.23999999999</v>
      </c>
      <c r="AR267" s="1453" t="s">
        <v>5553</v>
      </c>
      <c r="AS267" s="1453" t="s">
        <v>5554</v>
      </c>
      <c r="AT267" s="1453" t="s">
        <v>5381</v>
      </c>
    </row>
    <row r="268" spans="1:46" s="1416" customFormat="1" ht="12.75" customHeight="1">
      <c r="A268" s="1458"/>
      <c r="B268" s="1459"/>
      <c r="C268" s="1523" t="s">
        <v>534</v>
      </c>
      <c r="D268" s="1475">
        <v>1000000</v>
      </c>
      <c r="E268" s="1533">
        <v>39417</v>
      </c>
      <c r="F268" s="1533">
        <v>39479</v>
      </c>
      <c r="G268" s="1523">
        <v>8950</v>
      </c>
      <c r="H268" s="1523"/>
      <c r="I268" s="1523"/>
      <c r="J268" s="1523" t="s">
        <v>533</v>
      </c>
      <c r="K268" s="1523" t="s">
        <v>493</v>
      </c>
      <c r="L268" s="1545"/>
      <c r="M268" s="1438"/>
      <c r="N268" s="1545">
        <f>333426.353-60000-264202.08</f>
        <v>9224.2729999999865</v>
      </c>
      <c r="O268" s="1369"/>
      <c r="P268" s="1462"/>
      <c r="Q268" s="1462"/>
      <c r="R268" s="1370"/>
      <c r="S268" s="1358"/>
      <c r="T268" s="1439"/>
      <c r="U268" s="1456"/>
      <c r="V268" s="1371"/>
      <c r="W268" s="1358">
        <f>1000000+20800+1183084.63+33660-402709.79-1789623.65-45211.19+61901.87</f>
        <v>61901.869999999944</v>
      </c>
      <c r="X268" s="1371"/>
      <c r="Y268" s="1470"/>
      <c r="AB268" s="1544"/>
      <c r="AC268" s="1422"/>
      <c r="AD268" s="1414"/>
      <c r="AE268" s="1423"/>
      <c r="AF268" s="1423">
        <f t="shared" si="43"/>
        <v>9224.2729999999865</v>
      </c>
      <c r="AG268" s="1519">
        <f t="shared" si="44"/>
        <v>3.3043965152444385E-2</v>
      </c>
      <c r="AH268" s="1423"/>
      <c r="AJ268" s="1499"/>
      <c r="AK268" s="1523" t="s">
        <v>6122</v>
      </c>
      <c r="AL268" s="1449"/>
      <c r="AM268" s="1449"/>
      <c r="AN268" s="1453"/>
      <c r="AO268" s="1453"/>
      <c r="AP268" s="1451"/>
      <c r="AQ268" s="1509"/>
      <c r="AR268" s="1453"/>
      <c r="AS268" s="1453"/>
      <c r="AT268" s="1453"/>
    </row>
    <row r="269" spans="1:46" s="1416" customFormat="1" ht="12.75" hidden="1" customHeight="1">
      <c r="A269" s="1546">
        <v>79</v>
      </c>
      <c r="B269" s="1459">
        <v>1</v>
      </c>
      <c r="C269" s="1523" t="s">
        <v>535</v>
      </c>
      <c r="D269" s="1475">
        <v>194600</v>
      </c>
      <c r="E269" s="1533">
        <v>39965</v>
      </c>
      <c r="F269" s="1533">
        <v>39759</v>
      </c>
      <c r="G269" s="1523"/>
      <c r="H269" s="1523" t="s">
        <v>536</v>
      </c>
      <c r="I269" s="1523"/>
      <c r="J269" s="1523" t="s">
        <v>382</v>
      </c>
      <c r="K269" s="1523" t="s">
        <v>493</v>
      </c>
      <c r="L269" s="1545"/>
      <c r="M269" s="1438"/>
      <c r="N269" s="1545">
        <f>455-455</f>
        <v>0</v>
      </c>
      <c r="O269" s="1369"/>
      <c r="P269" s="1462"/>
      <c r="Q269" s="1462"/>
      <c r="R269" s="1370"/>
      <c r="S269" s="1358"/>
      <c r="T269" s="1439"/>
      <c r="U269" s="1456"/>
      <c r="V269" s="1371"/>
      <c r="W269" s="1358">
        <f>194600+12913.28-207513.28</f>
        <v>0</v>
      </c>
      <c r="X269" s="1371"/>
      <c r="Y269" s="1470"/>
      <c r="AB269" s="1544"/>
      <c r="AC269" s="1422"/>
      <c r="AD269" s="1414"/>
      <c r="AE269" s="1423"/>
      <c r="AF269" s="1423">
        <f t="shared" si="43"/>
        <v>0</v>
      </c>
      <c r="AG269" s="1519">
        <f t="shared" si="44"/>
        <v>0</v>
      </c>
      <c r="AH269" s="1423"/>
      <c r="AK269" s="1448"/>
      <c r="AL269" s="1449"/>
      <c r="AM269" s="1449"/>
      <c r="AN269" s="1453"/>
      <c r="AO269" s="1453"/>
      <c r="AP269" s="1451"/>
      <c r="AQ269" s="1509"/>
      <c r="AR269" s="1453"/>
      <c r="AS269" s="1453"/>
      <c r="AT269" s="1453"/>
    </row>
    <row r="270" spans="1:46" s="1416" customFormat="1" ht="12.75" hidden="1" customHeight="1">
      <c r="A270" s="1546">
        <v>70</v>
      </c>
      <c r="B270" s="1459">
        <v>1</v>
      </c>
      <c r="C270" s="1523" t="s">
        <v>537</v>
      </c>
      <c r="D270" s="1475">
        <v>260619</v>
      </c>
      <c r="E270" s="1533">
        <v>39965</v>
      </c>
      <c r="F270" s="1533">
        <v>39759</v>
      </c>
      <c r="G270" s="1523"/>
      <c r="H270" s="1523" t="s">
        <v>538</v>
      </c>
      <c r="I270" s="1523"/>
      <c r="J270" s="1523" t="s">
        <v>382</v>
      </c>
      <c r="K270" s="1523" t="s">
        <v>493</v>
      </c>
      <c r="L270" s="1545"/>
      <c r="M270" s="1438"/>
      <c r="N270" s="1545">
        <f>845-845</f>
        <v>0</v>
      </c>
      <c r="O270" s="1369"/>
      <c r="P270" s="1462"/>
      <c r="Q270" s="1462"/>
      <c r="R270" s="1370"/>
      <c r="S270" s="1358"/>
      <c r="T270" s="1439"/>
      <c r="U270" s="1456"/>
      <c r="V270" s="1371"/>
      <c r="W270" s="1358">
        <f>260619+12913.28-273532.28</f>
        <v>0</v>
      </c>
      <c r="X270" s="1371"/>
      <c r="Y270" s="1470"/>
      <c r="AB270" s="1544"/>
      <c r="AC270" s="1422"/>
      <c r="AD270" s="1414"/>
      <c r="AE270" s="1423"/>
      <c r="AF270" s="1423">
        <f t="shared" si="43"/>
        <v>0</v>
      </c>
      <c r="AG270" s="1519">
        <f t="shared" si="44"/>
        <v>0</v>
      </c>
      <c r="AH270" s="1423"/>
      <c r="AK270" s="1448"/>
      <c r="AL270" s="1449"/>
      <c r="AM270" s="1449"/>
      <c r="AN270" s="1453"/>
      <c r="AO270" s="1453"/>
      <c r="AP270" s="1451"/>
      <c r="AQ270" s="1509"/>
      <c r="AR270" s="1453"/>
      <c r="AS270" s="1453"/>
      <c r="AT270" s="1453"/>
    </row>
    <row r="271" spans="1:46" s="1416" customFormat="1" ht="12.75" hidden="1" customHeight="1">
      <c r="A271" s="1546">
        <v>65</v>
      </c>
      <c r="B271" s="1459">
        <v>1</v>
      </c>
      <c r="C271" s="1523" t="s">
        <v>539</v>
      </c>
      <c r="D271" s="1475">
        <v>330278</v>
      </c>
      <c r="E271" s="1533">
        <v>39965</v>
      </c>
      <c r="F271" s="1533">
        <v>39759</v>
      </c>
      <c r="G271" s="1523"/>
      <c r="H271" s="1523" t="s">
        <v>540</v>
      </c>
      <c r="I271" s="1523"/>
      <c r="J271" s="1523" t="s">
        <v>382</v>
      </c>
      <c r="K271" s="1523" t="s">
        <v>493</v>
      </c>
      <c r="L271" s="1545"/>
      <c r="M271" s="1438"/>
      <c r="N271" s="1545">
        <f>827-827</f>
        <v>0</v>
      </c>
      <c r="O271" s="1369"/>
      <c r="P271" s="1462"/>
      <c r="Q271" s="1462"/>
      <c r="R271" s="1370"/>
      <c r="S271" s="1358"/>
      <c r="T271" s="1439"/>
      <c r="U271" s="1456"/>
      <c r="V271" s="1371"/>
      <c r="W271" s="1358">
        <f>330278+12913.28-343191.28</f>
        <v>0</v>
      </c>
      <c r="X271" s="1371"/>
      <c r="Y271" s="1470"/>
      <c r="AB271" s="1544"/>
      <c r="AC271" s="1422"/>
      <c r="AD271" s="1414"/>
      <c r="AE271" s="1423"/>
      <c r="AF271" s="1423">
        <f t="shared" si="43"/>
        <v>0</v>
      </c>
      <c r="AG271" s="1519">
        <f t="shared" si="44"/>
        <v>0</v>
      </c>
      <c r="AH271" s="1423"/>
      <c r="AK271" s="1448"/>
      <c r="AL271" s="1449"/>
      <c r="AM271" s="1449"/>
      <c r="AN271" s="1453"/>
      <c r="AO271" s="1453"/>
      <c r="AP271" s="1451"/>
      <c r="AQ271" s="1509"/>
      <c r="AR271" s="1453"/>
      <c r="AS271" s="1453"/>
      <c r="AT271" s="1453"/>
    </row>
    <row r="272" spans="1:46" s="1416" customFormat="1" ht="12.75" hidden="1" customHeight="1">
      <c r="A272" s="1546">
        <v>70</v>
      </c>
      <c r="B272" s="1459">
        <v>1</v>
      </c>
      <c r="C272" s="1523" t="s">
        <v>541</v>
      </c>
      <c r="D272" s="1475">
        <v>125000</v>
      </c>
      <c r="E272" s="1533">
        <v>39965</v>
      </c>
      <c r="F272" s="1533">
        <v>38708</v>
      </c>
      <c r="G272" s="1523"/>
      <c r="H272" s="1523" t="s">
        <v>542</v>
      </c>
      <c r="I272" s="1523"/>
      <c r="J272" s="1523" t="s">
        <v>382</v>
      </c>
      <c r="K272" s="1523" t="s">
        <v>493</v>
      </c>
      <c r="L272" s="1545"/>
      <c r="M272" s="1438"/>
      <c r="N272" s="1545">
        <f>427.7-427.7</f>
        <v>0</v>
      </c>
      <c r="O272" s="1369"/>
      <c r="P272" s="1462"/>
      <c r="Q272" s="1462"/>
      <c r="R272" s="1370"/>
      <c r="S272" s="1358"/>
      <c r="T272" s="1439"/>
      <c r="U272" s="1456"/>
      <c r="V272" s="1371"/>
      <c r="W272" s="1358">
        <f>125000+12913.29-137913.29</f>
        <v>0</v>
      </c>
      <c r="X272" s="1371"/>
      <c r="Y272" s="1470"/>
      <c r="AB272" s="1544"/>
      <c r="AC272" s="1422"/>
      <c r="AD272" s="1414"/>
      <c r="AE272" s="1423"/>
      <c r="AF272" s="1423">
        <f t="shared" si="43"/>
        <v>0</v>
      </c>
      <c r="AG272" s="1519">
        <f t="shared" si="44"/>
        <v>0</v>
      </c>
      <c r="AH272" s="1423"/>
      <c r="AK272" s="1448"/>
      <c r="AL272" s="1449"/>
      <c r="AM272" s="1449"/>
      <c r="AN272" s="1453"/>
      <c r="AO272" s="1453"/>
      <c r="AP272" s="1451"/>
      <c r="AQ272" s="1509"/>
      <c r="AR272" s="1453"/>
      <c r="AS272" s="1453"/>
      <c r="AT272" s="1453"/>
    </row>
    <row r="273" spans="1:46" s="1416" customFormat="1" ht="12.75" hidden="1" customHeight="1">
      <c r="A273" s="1546">
        <v>64</v>
      </c>
      <c r="B273" s="1459">
        <v>1</v>
      </c>
      <c r="C273" s="1523" t="s">
        <v>543</v>
      </c>
      <c r="D273" s="1475">
        <v>200000</v>
      </c>
      <c r="E273" s="1533">
        <v>39965</v>
      </c>
      <c r="F273" s="1533">
        <v>39759</v>
      </c>
      <c r="G273" s="1523"/>
      <c r="H273" s="1523" t="s">
        <v>544</v>
      </c>
      <c r="I273" s="1523"/>
      <c r="J273" s="1523" t="s">
        <v>382</v>
      </c>
      <c r="K273" s="1523" t="s">
        <v>493</v>
      </c>
      <c r="L273" s="1545"/>
      <c r="M273" s="1438"/>
      <c r="N273" s="1545">
        <f>869-869</f>
        <v>0</v>
      </c>
      <c r="O273" s="1369"/>
      <c r="P273" s="1462"/>
      <c r="Q273" s="1462"/>
      <c r="R273" s="1370"/>
      <c r="S273" s="1358"/>
      <c r="T273" s="1439"/>
      <c r="U273" s="1456"/>
      <c r="V273" s="1371"/>
      <c r="W273" s="1358">
        <f>200000+12913.29-212913.29</f>
        <v>0</v>
      </c>
      <c r="X273" s="1371"/>
      <c r="Y273" s="1470"/>
      <c r="AB273" s="1544"/>
      <c r="AC273" s="1422"/>
      <c r="AD273" s="1414"/>
      <c r="AE273" s="1423"/>
      <c r="AF273" s="1423">
        <f t="shared" si="43"/>
        <v>0</v>
      </c>
      <c r="AG273" s="1519">
        <f t="shared" si="44"/>
        <v>0</v>
      </c>
      <c r="AH273" s="1423"/>
      <c r="AK273" s="1448"/>
      <c r="AL273" s="1449"/>
      <c r="AM273" s="1449"/>
      <c r="AN273" s="1453"/>
      <c r="AO273" s="1453"/>
      <c r="AP273" s="1451"/>
      <c r="AQ273" s="1509"/>
      <c r="AR273" s="1453"/>
      <c r="AS273" s="1453"/>
      <c r="AT273" s="1453"/>
    </row>
    <row r="274" spans="1:46" s="1416" customFormat="1" ht="12.75" hidden="1" customHeight="1">
      <c r="A274" s="1546">
        <v>78</v>
      </c>
      <c r="B274" s="1459">
        <v>1</v>
      </c>
      <c r="C274" s="1523" t="s">
        <v>545</v>
      </c>
      <c r="D274" s="1475">
        <v>67908</v>
      </c>
      <c r="E274" s="1533">
        <v>39965</v>
      </c>
      <c r="F274" s="1533">
        <v>39759</v>
      </c>
      <c r="G274" s="1523"/>
      <c r="H274" s="1523" t="s">
        <v>546</v>
      </c>
      <c r="I274" s="1523"/>
      <c r="J274" s="1523" t="s">
        <v>382</v>
      </c>
      <c r="K274" s="1523" t="s">
        <v>493</v>
      </c>
      <c r="L274" s="1545"/>
      <c r="M274" s="1438"/>
      <c r="N274" s="1545">
        <f>530-530</f>
        <v>0</v>
      </c>
      <c r="O274" s="1369"/>
      <c r="P274" s="1462"/>
      <c r="Q274" s="1462"/>
      <c r="R274" s="1370"/>
      <c r="S274" s="1358"/>
      <c r="T274" s="1439"/>
      <c r="U274" s="1456"/>
      <c r="V274" s="1371"/>
      <c r="W274" s="1358">
        <f>67908+12913.29-80821.29</f>
        <v>0</v>
      </c>
      <c r="X274" s="1371"/>
      <c r="Y274" s="1470"/>
      <c r="AB274" s="1544"/>
      <c r="AC274" s="1422"/>
      <c r="AD274" s="1414"/>
      <c r="AE274" s="1423"/>
      <c r="AF274" s="1423">
        <f t="shared" si="43"/>
        <v>0</v>
      </c>
      <c r="AG274" s="1519">
        <f t="shared" si="44"/>
        <v>0</v>
      </c>
      <c r="AH274" s="1423"/>
      <c r="AK274" s="1448"/>
      <c r="AL274" s="1449"/>
      <c r="AM274" s="1449"/>
      <c r="AN274" s="1453"/>
      <c r="AO274" s="1453"/>
      <c r="AP274" s="1451"/>
      <c r="AQ274" s="1509"/>
      <c r="AR274" s="1453"/>
      <c r="AS274" s="1453"/>
      <c r="AT274" s="1453"/>
    </row>
    <row r="275" spans="1:46" s="1416" customFormat="1" ht="12.75" hidden="1" customHeight="1">
      <c r="A275" s="1546">
        <v>78</v>
      </c>
      <c r="B275" s="1459">
        <v>2</v>
      </c>
      <c r="C275" s="1523" t="s">
        <v>547</v>
      </c>
      <c r="D275" s="1475">
        <v>55722</v>
      </c>
      <c r="E275" s="1533">
        <v>39965</v>
      </c>
      <c r="F275" s="1533">
        <v>39759</v>
      </c>
      <c r="G275" s="1523"/>
      <c r="H275" s="1523" t="s">
        <v>548</v>
      </c>
      <c r="I275" s="1523"/>
      <c r="J275" s="1523" t="s">
        <v>382</v>
      </c>
      <c r="K275" s="1523" t="s">
        <v>493</v>
      </c>
      <c r="L275" s="1545"/>
      <c r="M275" s="1438"/>
      <c r="N275" s="1545">
        <f>548-548</f>
        <v>0</v>
      </c>
      <c r="O275" s="1369"/>
      <c r="P275" s="1462"/>
      <c r="Q275" s="1462"/>
      <c r="R275" s="1370"/>
      <c r="S275" s="1358"/>
      <c r="T275" s="1439"/>
      <c r="U275" s="1456"/>
      <c r="V275" s="1371"/>
      <c r="W275" s="1358">
        <f>55722+12913.29-68635.29</f>
        <v>0</v>
      </c>
      <c r="X275" s="1371"/>
      <c r="Y275" s="1470"/>
      <c r="AB275" s="1544"/>
      <c r="AC275" s="1422"/>
      <c r="AD275" s="1414"/>
      <c r="AE275" s="1423"/>
      <c r="AF275" s="1423">
        <f t="shared" si="43"/>
        <v>0</v>
      </c>
      <c r="AG275" s="1519">
        <f t="shared" si="44"/>
        <v>0</v>
      </c>
      <c r="AH275" s="1423"/>
      <c r="AK275" s="1448"/>
      <c r="AL275" s="1449"/>
      <c r="AM275" s="1449"/>
      <c r="AN275" s="1453"/>
      <c r="AO275" s="1453"/>
      <c r="AP275" s="1451"/>
      <c r="AQ275" s="1509"/>
      <c r="AR275" s="1453"/>
      <c r="AS275" s="1453"/>
      <c r="AT275" s="1453"/>
    </row>
    <row r="276" spans="1:46" s="1416" customFormat="1" ht="12.75" hidden="1" customHeight="1">
      <c r="A276" s="1546"/>
      <c r="B276" s="1459"/>
      <c r="C276" s="1523" t="s">
        <v>549</v>
      </c>
      <c r="D276" s="1475">
        <v>1276150.75</v>
      </c>
      <c r="E276" s="1533">
        <v>40057</v>
      </c>
      <c r="F276" s="1533">
        <v>40052</v>
      </c>
      <c r="G276" s="1523"/>
      <c r="H276" s="1523">
        <v>7779</v>
      </c>
      <c r="I276" s="1523"/>
      <c r="J276" s="1523" t="s">
        <v>382</v>
      </c>
      <c r="K276" s="1523" t="s">
        <v>493</v>
      </c>
      <c r="L276" s="1545"/>
      <c r="M276" s="1438"/>
      <c r="N276" s="1545">
        <f>18230.72-18230.72</f>
        <v>0</v>
      </c>
      <c r="O276" s="1369"/>
      <c r="P276" s="1462"/>
      <c r="Q276" s="1462"/>
      <c r="R276" s="1370"/>
      <c r="S276" s="1358"/>
      <c r="T276" s="1439"/>
      <c r="U276" s="1456"/>
      <c r="V276" s="1371"/>
      <c r="W276" s="1358">
        <f>1276150.75+14850+26543.94+10927.76-1328472.45</f>
        <v>0</v>
      </c>
      <c r="X276" s="1371"/>
      <c r="Y276" s="1470"/>
      <c r="AB276" s="1544"/>
      <c r="AC276" s="1422"/>
      <c r="AD276" s="1414"/>
      <c r="AE276" s="1423"/>
      <c r="AF276" s="1423">
        <f t="shared" si="43"/>
        <v>0</v>
      </c>
      <c r="AG276" s="1519">
        <f t="shared" si="44"/>
        <v>0</v>
      </c>
      <c r="AH276" s="1423"/>
      <c r="AK276" s="1448"/>
      <c r="AL276" s="1449"/>
      <c r="AM276" s="1449"/>
      <c r="AN276" s="1453"/>
      <c r="AO276" s="1453"/>
      <c r="AP276" s="1451"/>
      <c r="AQ276" s="1509"/>
      <c r="AR276" s="1453"/>
      <c r="AS276" s="1453"/>
      <c r="AT276" s="1453"/>
    </row>
    <row r="277" spans="1:46" s="1416" customFormat="1" ht="12.75" hidden="1" customHeight="1">
      <c r="A277" s="1546"/>
      <c r="B277" s="1459"/>
      <c r="C277" s="1523" t="s">
        <v>550</v>
      </c>
      <c r="D277" s="1475"/>
      <c r="E277" s="1533"/>
      <c r="F277" s="1533"/>
      <c r="G277" s="1523"/>
      <c r="H277" s="1523"/>
      <c r="I277" s="1523"/>
      <c r="J277" s="1523"/>
      <c r="K277" s="1523"/>
      <c r="L277" s="1545"/>
      <c r="M277" s="1438"/>
      <c r="N277" s="1545"/>
      <c r="O277" s="1369"/>
      <c r="P277" s="1462"/>
      <c r="Q277" s="1462"/>
      <c r="R277" s="1370"/>
      <c r="S277" s="1358"/>
      <c r="T277" s="1439"/>
      <c r="U277" s="1456"/>
      <c r="V277" s="1371"/>
      <c r="W277" s="1358"/>
      <c r="X277" s="1371"/>
      <c r="Y277" s="1358"/>
      <c r="AB277" s="1544"/>
      <c r="AC277" s="1422"/>
      <c r="AD277" s="1414"/>
      <c r="AE277" s="1423"/>
      <c r="AF277" s="1423"/>
      <c r="AG277" s="1423"/>
      <c r="AH277" s="1423"/>
      <c r="AK277" s="1448"/>
      <c r="AL277" s="1449"/>
      <c r="AM277" s="1449"/>
      <c r="AN277" s="1453"/>
      <c r="AO277" s="1453"/>
      <c r="AP277" s="1451"/>
      <c r="AQ277" s="1509"/>
      <c r="AR277" s="1453"/>
      <c r="AS277" s="1453"/>
      <c r="AT277" s="1453"/>
    </row>
    <row r="278" spans="1:46" s="1416" customFormat="1" ht="12.75" hidden="1" customHeight="1">
      <c r="A278" s="1458" t="s">
        <v>551</v>
      </c>
      <c r="B278" s="1459"/>
      <c r="C278" s="1523" t="s">
        <v>552</v>
      </c>
      <c r="D278" s="1475">
        <v>525373.1</v>
      </c>
      <c r="E278" s="1533">
        <v>40315</v>
      </c>
      <c r="F278" s="1533">
        <v>40315</v>
      </c>
      <c r="G278" s="1523"/>
      <c r="H278" s="1523"/>
      <c r="I278" s="1523"/>
      <c r="J278" s="1523" t="s">
        <v>459</v>
      </c>
      <c r="K278" s="1523" t="s">
        <v>553</v>
      </c>
      <c r="L278" s="1545"/>
      <c r="M278" s="1438"/>
      <c r="N278" s="1545">
        <f>2207.45-2207.45</f>
        <v>0</v>
      </c>
      <c r="O278" s="1369"/>
      <c r="P278" s="1462"/>
      <c r="Q278" s="1462"/>
      <c r="R278" s="1370"/>
      <c r="S278" s="1358"/>
      <c r="T278" s="1439"/>
      <c r="U278" s="1456"/>
      <c r="V278" s="1371"/>
      <c r="W278" s="1358">
        <f>525373.1-525373.1</f>
        <v>0</v>
      </c>
      <c r="X278" s="1371"/>
      <c r="Y278" s="1358"/>
      <c r="AB278" s="1544"/>
      <c r="AC278" s="1422"/>
      <c r="AD278" s="1414"/>
      <c r="AK278" s="1448"/>
      <c r="AL278" s="1449"/>
      <c r="AM278" s="1449"/>
      <c r="AN278" s="1453"/>
      <c r="AO278" s="1453"/>
      <c r="AP278" s="1451"/>
      <c r="AQ278" s="1509"/>
      <c r="AR278" s="1453"/>
      <c r="AS278" s="1453"/>
      <c r="AT278" s="1453"/>
    </row>
    <row r="279" spans="1:46" s="1416" customFormat="1" ht="12.75" hidden="1" customHeight="1">
      <c r="A279" s="1458"/>
      <c r="B279" s="1459"/>
      <c r="C279" s="1523"/>
      <c r="D279" s="1475"/>
      <c r="E279" s="1533"/>
      <c r="F279" s="1533"/>
      <c r="G279" s="1523"/>
      <c r="H279" s="1523"/>
      <c r="I279" s="1523"/>
      <c r="J279" s="1523"/>
      <c r="K279" s="1523"/>
      <c r="L279" s="1545"/>
      <c r="M279" s="1438"/>
      <c r="N279" s="1545"/>
      <c r="O279" s="1369"/>
      <c r="P279" s="1462"/>
      <c r="Q279" s="1462"/>
      <c r="R279" s="1370"/>
      <c r="S279" s="1358"/>
      <c r="T279" s="1439"/>
      <c r="U279" s="1456"/>
      <c r="V279" s="1371"/>
      <c r="W279" s="1358"/>
      <c r="X279" s="1371"/>
      <c r="Y279" s="1358"/>
      <c r="AB279" s="1544"/>
      <c r="AC279" s="1422"/>
      <c r="AD279" s="1414"/>
      <c r="AK279" s="1448"/>
      <c r="AL279" s="1449"/>
      <c r="AM279" s="1449"/>
      <c r="AN279" s="1453"/>
      <c r="AO279" s="1453"/>
      <c r="AP279" s="1451"/>
      <c r="AQ279" s="1509"/>
      <c r="AR279" s="1453"/>
      <c r="AS279" s="1453"/>
      <c r="AT279" s="1453"/>
    </row>
    <row r="280" spans="1:46" s="1416" customFormat="1" ht="12.75" customHeight="1">
      <c r="A280" s="1458"/>
      <c r="B280" s="1459"/>
      <c r="C280" s="1523"/>
      <c r="D280" s="1475"/>
      <c r="E280" s="1533"/>
      <c r="F280" s="1533"/>
      <c r="G280" s="1523"/>
      <c r="H280" s="1523"/>
      <c r="I280" s="1523"/>
      <c r="J280" s="1523"/>
      <c r="K280" s="1523"/>
      <c r="L280" s="1545"/>
      <c r="M280" s="1438"/>
      <c r="N280" s="1545"/>
      <c r="O280" s="1369"/>
      <c r="P280" s="1462"/>
      <c r="Q280" s="1462"/>
      <c r="R280" s="1370"/>
      <c r="S280" s="1358"/>
      <c r="T280" s="1439"/>
      <c r="U280" s="1456"/>
      <c r="V280" s="1371"/>
      <c r="W280" s="1358"/>
      <c r="X280" s="1371"/>
      <c r="Y280" s="1358"/>
      <c r="AB280" s="1544"/>
      <c r="AC280" s="1422"/>
      <c r="AD280" s="1414"/>
      <c r="AK280" s="1448"/>
      <c r="AL280" s="1449"/>
      <c r="AM280" s="1449"/>
      <c r="AN280" s="1453"/>
      <c r="AO280" s="1453"/>
      <c r="AP280" s="1451"/>
      <c r="AQ280" s="1509"/>
      <c r="AR280" s="1453"/>
      <c r="AS280" s="1453"/>
      <c r="AT280" s="1453"/>
    </row>
    <row r="281" spans="1:46" s="1416" customFormat="1" ht="12.75" customHeight="1">
      <c r="A281" s="1458"/>
      <c r="B281" s="1459"/>
      <c r="C281" s="1523"/>
      <c r="D281" s="1475"/>
      <c r="E281" s="1533"/>
      <c r="F281" s="1533"/>
      <c r="G281" s="1523"/>
      <c r="H281" s="1523"/>
      <c r="I281" s="1523"/>
      <c r="J281" s="1523"/>
      <c r="K281" s="1472" t="s">
        <v>98</v>
      </c>
      <c r="L281" s="1545"/>
      <c r="M281" s="1438"/>
      <c r="N281" s="1466">
        <f t="shared" ref="N281:Y281" si="46">SUM(N239:N280)</f>
        <v>288375.78999999998</v>
      </c>
      <c r="O281" s="1466">
        <f t="shared" si="46"/>
        <v>0</v>
      </c>
      <c r="P281" s="1466">
        <f t="shared" si="46"/>
        <v>0</v>
      </c>
      <c r="Q281" s="1466">
        <f t="shared" si="46"/>
        <v>0</v>
      </c>
      <c r="R281" s="1466">
        <f t="shared" si="46"/>
        <v>1850000</v>
      </c>
      <c r="S281" s="1466">
        <f t="shared" si="46"/>
        <v>1156.0147898839273</v>
      </c>
      <c r="T281" s="1466">
        <f t="shared" si="46"/>
        <v>0</v>
      </c>
      <c r="U281" s="1466">
        <f t="shared" si="46"/>
        <v>76126</v>
      </c>
      <c r="V281" s="1466">
        <f t="shared" si="46"/>
        <v>0</v>
      </c>
      <c r="W281" s="1466">
        <f t="shared" si="46"/>
        <v>8159426</v>
      </c>
      <c r="X281" s="1466">
        <f t="shared" si="46"/>
        <v>0</v>
      </c>
      <c r="Y281" s="1466">
        <f t="shared" si="46"/>
        <v>0</v>
      </c>
      <c r="AB281" s="1544"/>
      <c r="AC281" s="1422"/>
      <c r="AD281" s="1414"/>
      <c r="AK281" s="1448"/>
      <c r="AL281" s="1449"/>
      <c r="AM281" s="1449"/>
      <c r="AN281" s="1453"/>
      <c r="AO281" s="1453"/>
      <c r="AP281" s="1451"/>
      <c r="AQ281" s="1509"/>
      <c r="AR281" s="1453"/>
      <c r="AS281" s="1453"/>
      <c r="AT281" s="1453"/>
    </row>
    <row r="282" spans="1:46" ht="11.25">
      <c r="A282" s="1971" t="s">
        <v>554</v>
      </c>
      <c r="B282" s="1972"/>
      <c r="C282" s="1972"/>
      <c r="D282" s="1972"/>
      <c r="E282" s="1972"/>
      <c r="F282" s="1972"/>
      <c r="G282" s="1972"/>
      <c r="H282" s="1972"/>
      <c r="I282" s="1972"/>
      <c r="J282" s="1972"/>
      <c r="K282" s="1972"/>
      <c r="L282" s="1972"/>
      <c r="M282" s="1972"/>
      <c r="N282" s="1972"/>
      <c r="O282" s="1973"/>
      <c r="P282" s="1417"/>
      <c r="Q282" s="1418"/>
      <c r="R282" s="1419"/>
      <c r="S282" s="1420"/>
      <c r="T282" s="1421"/>
      <c r="U282" s="1419"/>
      <c r="V282" s="1375"/>
      <c r="W282" s="1376"/>
      <c r="X282" s="1376"/>
      <c r="Y282" s="1377"/>
      <c r="AB282" s="1422"/>
      <c r="AC282" s="1422"/>
      <c r="AK282" s="1448"/>
      <c r="AL282" s="1449"/>
      <c r="AM282" s="1449"/>
      <c r="AN282" s="1453"/>
      <c r="AO282" s="1453"/>
      <c r="AP282" s="1451"/>
      <c r="AQ282" s="1509"/>
      <c r="AR282" s="1453"/>
      <c r="AS282" s="1453"/>
      <c r="AT282" s="1453"/>
    </row>
    <row r="283" spans="1:46" ht="11.25">
      <c r="A283" s="1424"/>
      <c r="B283" s="1425"/>
      <c r="C283" s="1426" t="s">
        <v>256</v>
      </c>
      <c r="D283" s="1426" t="s">
        <v>257</v>
      </c>
      <c r="E283" s="1427" t="s">
        <v>258</v>
      </c>
      <c r="F283" s="1427" t="s">
        <v>259</v>
      </c>
      <c r="G283" s="1427" t="s">
        <v>260</v>
      </c>
      <c r="H283" s="1427" t="s">
        <v>261</v>
      </c>
      <c r="I283" s="1427" t="s">
        <v>262</v>
      </c>
      <c r="J283" s="1427" t="s">
        <v>263</v>
      </c>
      <c r="K283" s="1974" t="s">
        <v>264</v>
      </c>
      <c r="L283" s="1975"/>
      <c r="M283" s="1975"/>
      <c r="N283" s="1975" t="s">
        <v>265</v>
      </c>
      <c r="O283" s="1976"/>
      <c r="P283" s="1475"/>
      <c r="Q283" s="1476"/>
      <c r="R283" s="1430" t="s">
        <v>266</v>
      </c>
      <c r="S283" s="1430" t="s">
        <v>267</v>
      </c>
      <c r="T283" s="1430"/>
      <c r="U283" s="1430"/>
      <c r="V283" s="1977" t="s">
        <v>268</v>
      </c>
      <c r="W283" s="1978"/>
      <c r="X283" s="1978"/>
      <c r="Y283" s="1979"/>
      <c r="AB283" s="1422"/>
      <c r="AC283" s="1422"/>
      <c r="AK283" s="1448"/>
      <c r="AL283" s="1449"/>
      <c r="AM283" s="1449"/>
      <c r="AN283" s="1453"/>
      <c r="AO283" s="1453"/>
      <c r="AP283" s="1451"/>
      <c r="AQ283" s="1509"/>
      <c r="AR283" s="1453"/>
      <c r="AS283" s="1453"/>
      <c r="AT283" s="1453"/>
    </row>
    <row r="284" spans="1:46" ht="13.5" customHeight="1">
      <c r="A284" s="1436" t="s">
        <v>269</v>
      </c>
      <c r="B284" s="1430" t="s">
        <v>270</v>
      </c>
      <c r="C284" s="1436" t="s">
        <v>271</v>
      </c>
      <c r="D284" s="1436"/>
      <c r="E284" s="1436"/>
      <c r="F284" s="1436"/>
      <c r="G284" s="1436"/>
      <c r="H284" s="1436"/>
      <c r="I284" s="1436"/>
      <c r="J284" s="1436"/>
      <c r="K284" s="1436" t="s">
        <v>272</v>
      </c>
      <c r="L284" s="1429" t="s">
        <v>273</v>
      </c>
      <c r="M284" s="1430" t="s">
        <v>274</v>
      </c>
      <c r="N284" s="1430" t="s">
        <v>275</v>
      </c>
      <c r="O284" s="1430" t="s">
        <v>276</v>
      </c>
      <c r="P284" s="1437" t="s">
        <v>277</v>
      </c>
      <c r="Q284" s="1437" t="s">
        <v>278</v>
      </c>
      <c r="R284" s="1438" t="s">
        <v>279</v>
      </c>
      <c r="S284" s="1438" t="s">
        <v>280</v>
      </c>
      <c r="T284" s="1438" t="s">
        <v>281</v>
      </c>
      <c r="U284" s="1438" t="s">
        <v>282</v>
      </c>
      <c r="V284" s="1378" t="s">
        <v>283</v>
      </c>
      <c r="W284" s="1378" t="s">
        <v>284</v>
      </c>
      <c r="X284" s="1378" t="s">
        <v>285</v>
      </c>
      <c r="Y284" s="1378" t="s">
        <v>286</v>
      </c>
      <c r="AB284" s="1422"/>
      <c r="AC284" s="1422"/>
      <c r="AK284" s="1448"/>
      <c r="AL284" s="1449"/>
      <c r="AM284" s="1449"/>
      <c r="AN284" s="1453"/>
      <c r="AO284" s="1453"/>
      <c r="AP284" s="1451"/>
      <c r="AQ284" s="1509"/>
      <c r="AR284" s="1453"/>
      <c r="AS284" s="1453"/>
      <c r="AT284" s="1453"/>
    </row>
    <row r="285" spans="1:46" s="1416" customFormat="1" ht="12.75" customHeight="1">
      <c r="A285" s="1458"/>
      <c r="B285" s="1459" t="s">
        <v>555</v>
      </c>
      <c r="C285" s="1523" t="s">
        <v>556</v>
      </c>
      <c r="D285" s="1475">
        <v>3600000</v>
      </c>
      <c r="E285" s="1533">
        <v>39653</v>
      </c>
      <c r="F285" s="1533">
        <v>39722</v>
      </c>
      <c r="G285" s="1523"/>
      <c r="H285" s="1523"/>
      <c r="I285" s="1523"/>
      <c r="J285" s="1523" t="s">
        <v>557</v>
      </c>
      <c r="K285" s="1523" t="s">
        <v>493</v>
      </c>
      <c r="L285" s="1545"/>
      <c r="M285" s="1438"/>
      <c r="N285" s="1545">
        <f>320000-200000</f>
        <v>120000</v>
      </c>
      <c r="O285" s="1369"/>
      <c r="P285" s="1462"/>
      <c r="Q285" s="1462"/>
      <c r="R285" s="1370"/>
      <c r="S285" s="1358"/>
      <c r="T285" s="1439"/>
      <c r="U285" s="1456"/>
      <c r="V285" s="1371"/>
      <c r="W285" s="1358">
        <f>3600000+74880-2296800</f>
        <v>1378080</v>
      </c>
      <c r="X285" s="1371"/>
      <c r="Y285" s="1470"/>
      <c r="AB285" s="1544"/>
      <c r="AC285" s="1422"/>
      <c r="AD285" s="1414"/>
      <c r="AF285" s="1499"/>
      <c r="AK285" s="1448" t="s">
        <v>6123</v>
      </c>
      <c r="AL285" s="1449" t="s">
        <v>376</v>
      </c>
      <c r="AM285" s="1449" t="s">
        <v>376</v>
      </c>
      <c r="AN285" s="1453" t="s">
        <v>5555</v>
      </c>
      <c r="AO285" s="1453" t="s">
        <v>5555</v>
      </c>
      <c r="AP285" s="1451" t="s">
        <v>5393</v>
      </c>
      <c r="AQ285" s="1452">
        <v>120000</v>
      </c>
      <c r="AR285" s="1453" t="s">
        <v>5556</v>
      </c>
      <c r="AS285" s="1453" t="s">
        <v>5381</v>
      </c>
      <c r="AT285" s="1453" t="s">
        <v>5557</v>
      </c>
    </row>
    <row r="286" spans="1:46" s="1416" customFormat="1" ht="12.75" hidden="1" customHeight="1">
      <c r="A286" s="1458"/>
      <c r="B286" s="1459"/>
      <c r="C286" s="1523"/>
      <c r="D286" s="1475"/>
      <c r="E286" s="1533"/>
      <c r="F286" s="1533"/>
      <c r="G286" s="1523"/>
      <c r="H286" s="1523"/>
      <c r="I286" s="1523"/>
      <c r="J286" s="1523"/>
      <c r="K286" s="1523"/>
      <c r="L286" s="1545"/>
      <c r="M286" s="1438"/>
      <c r="N286" s="1545"/>
      <c r="O286" s="1369"/>
      <c r="P286" s="1462"/>
      <c r="Q286" s="1462"/>
      <c r="R286" s="1370"/>
      <c r="S286" s="1358"/>
      <c r="T286" s="1439"/>
      <c r="U286" s="1456"/>
      <c r="V286" s="1371"/>
      <c r="W286" s="1358"/>
      <c r="X286" s="1371"/>
      <c r="Y286" s="1358"/>
      <c r="AB286" s="1544"/>
      <c r="AC286" s="1422"/>
      <c r="AD286" s="1414"/>
      <c r="AK286" s="1448"/>
      <c r="AL286" s="1449"/>
      <c r="AM286" s="1449"/>
      <c r="AN286" s="1453"/>
      <c r="AO286" s="1453"/>
      <c r="AP286" s="1451"/>
      <c r="AQ286" s="1452"/>
      <c r="AR286" s="1453"/>
      <c r="AS286" s="1453"/>
      <c r="AT286" s="1453"/>
    </row>
    <row r="287" spans="1:46" s="1416" customFormat="1" ht="12.75" hidden="1" customHeight="1">
      <c r="A287" s="1458"/>
      <c r="B287" s="1459"/>
      <c r="C287" s="1523"/>
      <c r="D287" s="1475"/>
      <c r="E287" s="1533"/>
      <c r="F287" s="1533"/>
      <c r="G287" s="1523"/>
      <c r="H287" s="1523"/>
      <c r="I287" s="1523"/>
      <c r="J287" s="1523"/>
      <c r="K287" s="1523"/>
      <c r="L287" s="1545"/>
      <c r="M287" s="1438"/>
      <c r="N287" s="1545"/>
      <c r="O287" s="1369"/>
      <c r="P287" s="1462"/>
      <c r="Q287" s="1462"/>
      <c r="R287" s="1370"/>
      <c r="S287" s="1358"/>
      <c r="T287" s="1439"/>
      <c r="U287" s="1456"/>
      <c r="V287" s="1371"/>
      <c r="W287" s="1358"/>
      <c r="X287" s="1371"/>
      <c r="Y287" s="1358"/>
      <c r="AB287" s="1544"/>
      <c r="AC287" s="1422"/>
      <c r="AD287" s="1414"/>
      <c r="AK287" s="1448"/>
      <c r="AL287" s="1449"/>
      <c r="AM287" s="1449"/>
      <c r="AN287" s="1453"/>
      <c r="AO287" s="1453"/>
      <c r="AP287" s="1451"/>
      <c r="AQ287" s="1452"/>
      <c r="AR287" s="1453"/>
      <c r="AS287" s="1453"/>
      <c r="AT287" s="1453"/>
    </row>
    <row r="288" spans="1:46" s="1416" customFormat="1" ht="12.75" hidden="1" customHeight="1">
      <c r="A288" s="1458"/>
      <c r="B288" s="1459"/>
      <c r="C288" s="1523"/>
      <c r="D288" s="1475"/>
      <c r="E288" s="1533"/>
      <c r="F288" s="1533"/>
      <c r="G288" s="1523"/>
      <c r="H288" s="1523"/>
      <c r="I288" s="1523"/>
      <c r="J288" s="1523"/>
      <c r="K288" s="1523"/>
      <c r="L288" s="1545"/>
      <c r="M288" s="1438"/>
      <c r="N288" s="1545"/>
      <c r="O288" s="1369"/>
      <c r="P288" s="1462"/>
      <c r="Q288" s="1462"/>
      <c r="R288" s="1370"/>
      <c r="S288" s="1358"/>
      <c r="T288" s="1439"/>
      <c r="U288" s="1456"/>
      <c r="V288" s="1371"/>
      <c r="W288" s="1358"/>
      <c r="X288" s="1371"/>
      <c r="Y288" s="1358"/>
      <c r="AB288" s="1544"/>
      <c r="AC288" s="1422"/>
      <c r="AD288" s="1414"/>
      <c r="AK288" s="1448"/>
      <c r="AL288" s="1449"/>
      <c r="AM288" s="1449"/>
      <c r="AN288" s="1453"/>
      <c r="AO288" s="1453"/>
      <c r="AP288" s="1451"/>
      <c r="AQ288" s="1452"/>
      <c r="AR288" s="1453"/>
      <c r="AS288" s="1453"/>
      <c r="AT288" s="1453"/>
    </row>
    <row r="289" spans="1:46" s="1416" customFormat="1" ht="12.75" hidden="1" customHeight="1">
      <c r="A289" s="1458"/>
      <c r="B289" s="1459"/>
      <c r="C289" s="1523"/>
      <c r="D289" s="1475"/>
      <c r="E289" s="1533"/>
      <c r="F289" s="1533"/>
      <c r="G289" s="1523"/>
      <c r="H289" s="1523"/>
      <c r="I289" s="1523"/>
      <c r="J289" s="1523"/>
      <c r="K289" s="1523"/>
      <c r="L289" s="1545"/>
      <c r="M289" s="1438"/>
      <c r="N289" s="1545"/>
      <c r="O289" s="1369"/>
      <c r="P289" s="1462"/>
      <c r="Q289" s="1462"/>
      <c r="R289" s="1370"/>
      <c r="S289" s="1358"/>
      <c r="T289" s="1439"/>
      <c r="U289" s="1456"/>
      <c r="V289" s="1371"/>
      <c r="W289" s="1358"/>
      <c r="X289" s="1371"/>
      <c r="Y289" s="1358"/>
      <c r="AB289" s="1544"/>
      <c r="AC289" s="1422"/>
      <c r="AD289" s="1414"/>
      <c r="AK289" s="1448"/>
      <c r="AL289" s="1449"/>
      <c r="AM289" s="1449"/>
      <c r="AN289" s="1453"/>
      <c r="AO289" s="1453"/>
      <c r="AP289" s="1451"/>
      <c r="AQ289" s="1452"/>
      <c r="AR289" s="1453"/>
      <c r="AS289" s="1453"/>
      <c r="AT289" s="1453"/>
    </row>
    <row r="290" spans="1:46" s="1416" customFormat="1" ht="12.75" hidden="1" customHeight="1">
      <c r="A290" s="1458"/>
      <c r="B290" s="1459"/>
      <c r="C290" s="1523"/>
      <c r="D290" s="1475"/>
      <c r="E290" s="1533"/>
      <c r="F290" s="1533"/>
      <c r="G290" s="1523"/>
      <c r="H290" s="1523"/>
      <c r="I290" s="1523"/>
      <c r="J290" s="1523"/>
      <c r="K290" s="1523"/>
      <c r="L290" s="1545"/>
      <c r="M290" s="1438"/>
      <c r="N290" s="1545"/>
      <c r="O290" s="1369"/>
      <c r="P290" s="1462"/>
      <c r="Q290" s="1462"/>
      <c r="R290" s="1370"/>
      <c r="S290" s="1358"/>
      <c r="T290" s="1439"/>
      <c r="U290" s="1456"/>
      <c r="V290" s="1371"/>
      <c r="W290" s="1358"/>
      <c r="X290" s="1371"/>
      <c r="Y290" s="1358"/>
      <c r="AB290" s="1544"/>
      <c r="AC290" s="1422"/>
      <c r="AD290" s="1414"/>
      <c r="AK290" s="1448"/>
      <c r="AL290" s="1449"/>
      <c r="AM290" s="1449"/>
      <c r="AN290" s="1453"/>
      <c r="AO290" s="1453"/>
      <c r="AP290" s="1451"/>
      <c r="AQ290" s="1452"/>
      <c r="AR290" s="1453"/>
      <c r="AS290" s="1453"/>
      <c r="AT290" s="1453"/>
    </row>
    <row r="291" spans="1:46" s="1416" customFormat="1" ht="12.75" hidden="1" customHeight="1">
      <c r="A291" s="1458"/>
      <c r="B291" s="1459"/>
      <c r="C291" s="1523"/>
      <c r="D291" s="1475"/>
      <c r="E291" s="1533"/>
      <c r="F291" s="1533"/>
      <c r="G291" s="1523"/>
      <c r="H291" s="1523"/>
      <c r="I291" s="1523"/>
      <c r="J291" s="1523"/>
      <c r="K291" s="1523"/>
      <c r="L291" s="1545"/>
      <c r="M291" s="1438"/>
      <c r="N291" s="1545"/>
      <c r="O291" s="1369"/>
      <c r="P291" s="1462"/>
      <c r="Q291" s="1462"/>
      <c r="R291" s="1370"/>
      <c r="S291" s="1358"/>
      <c r="T291" s="1439"/>
      <c r="U291" s="1456"/>
      <c r="V291" s="1371"/>
      <c r="W291" s="1358"/>
      <c r="X291" s="1371"/>
      <c r="Y291" s="1358"/>
      <c r="AB291" s="1544"/>
      <c r="AC291" s="1422"/>
      <c r="AD291" s="1414"/>
      <c r="AK291" s="1448"/>
      <c r="AL291" s="1449"/>
      <c r="AM291" s="1449"/>
      <c r="AN291" s="1453"/>
      <c r="AO291" s="1453"/>
      <c r="AP291" s="1451"/>
      <c r="AQ291" s="1452"/>
      <c r="AR291" s="1453"/>
      <c r="AS291" s="1453"/>
      <c r="AT291" s="1453"/>
    </row>
    <row r="292" spans="1:46" s="1416" customFormat="1" ht="12.75" hidden="1" customHeight="1">
      <c r="A292" s="1458"/>
      <c r="B292" s="1459"/>
      <c r="C292" s="1523"/>
      <c r="D292" s="1475"/>
      <c r="E292" s="1533"/>
      <c r="F292" s="1533"/>
      <c r="G292" s="1523"/>
      <c r="H292" s="1523"/>
      <c r="I292" s="1523"/>
      <c r="J292" s="1523"/>
      <c r="K292" s="1523"/>
      <c r="L292" s="1545"/>
      <c r="M292" s="1438"/>
      <c r="N292" s="1545"/>
      <c r="O292" s="1369"/>
      <c r="P292" s="1462"/>
      <c r="Q292" s="1462"/>
      <c r="R292" s="1370"/>
      <c r="S292" s="1358"/>
      <c r="T292" s="1439"/>
      <c r="U292" s="1456"/>
      <c r="V292" s="1371"/>
      <c r="W292" s="1358"/>
      <c r="X292" s="1371"/>
      <c r="Y292" s="1358"/>
      <c r="AB292" s="1544"/>
      <c r="AC292" s="1422"/>
      <c r="AD292" s="1414"/>
      <c r="AK292" s="1448"/>
      <c r="AL292" s="1449"/>
      <c r="AM292" s="1449"/>
      <c r="AN292" s="1453"/>
      <c r="AO292" s="1453"/>
      <c r="AP292" s="1451"/>
      <c r="AQ292" s="1452"/>
      <c r="AR292" s="1453"/>
      <c r="AS292" s="1453"/>
      <c r="AT292" s="1453"/>
    </row>
    <row r="293" spans="1:46" s="1416" customFormat="1" ht="12.75" customHeight="1">
      <c r="A293" s="1458"/>
      <c r="B293" s="1459"/>
      <c r="C293" s="1523"/>
      <c r="D293" s="1475"/>
      <c r="E293" s="1533"/>
      <c r="F293" s="1533"/>
      <c r="G293" s="1523"/>
      <c r="H293" s="1523"/>
      <c r="I293" s="1523"/>
      <c r="J293" s="1523"/>
      <c r="K293" s="1523"/>
      <c r="L293" s="1545"/>
      <c r="M293" s="1438"/>
      <c r="N293" s="1545"/>
      <c r="O293" s="1369"/>
      <c r="P293" s="1462"/>
      <c r="Q293" s="1462"/>
      <c r="R293" s="1370"/>
      <c r="S293" s="1358"/>
      <c r="T293" s="1439"/>
      <c r="U293" s="1456"/>
      <c r="V293" s="1371"/>
      <c r="W293" s="1371"/>
      <c r="X293" s="1371"/>
      <c r="Y293" s="1358"/>
      <c r="AB293" s="1544"/>
      <c r="AC293" s="1422"/>
      <c r="AD293" s="1414"/>
      <c r="AK293" s="1448"/>
      <c r="AL293" s="1449"/>
      <c r="AM293" s="1449"/>
      <c r="AN293" s="1453"/>
      <c r="AO293" s="1453"/>
      <c r="AP293" s="1451"/>
      <c r="AQ293" s="1452"/>
      <c r="AR293" s="1453"/>
      <c r="AS293" s="1453"/>
      <c r="AT293" s="1453"/>
    </row>
    <row r="294" spans="1:46" ht="13.5" customHeight="1">
      <c r="A294" s="1458"/>
      <c r="B294" s="1459"/>
      <c r="C294" s="1547" t="s">
        <v>493</v>
      </c>
      <c r="D294" s="1547"/>
      <c r="E294" s="1547"/>
      <c r="F294" s="1547"/>
      <c r="G294" s="1547"/>
      <c r="H294" s="1547"/>
      <c r="I294" s="1547"/>
      <c r="J294" s="1547"/>
      <c r="K294" s="1472" t="s">
        <v>98</v>
      </c>
      <c r="L294" s="1469">
        <f>SUM(L239:L249)</f>
        <v>3875.6</v>
      </c>
      <c r="M294" s="1469">
        <f>SUM(M239:M249)</f>
        <v>0</v>
      </c>
      <c r="N294" s="1469">
        <f t="shared" ref="N294:Y294" si="47">SUM(N285:N293)</f>
        <v>120000</v>
      </c>
      <c r="O294" s="1469">
        <f t="shared" si="47"/>
        <v>0</v>
      </c>
      <c r="P294" s="1469">
        <f t="shared" si="47"/>
        <v>0</v>
      </c>
      <c r="Q294" s="1469">
        <f t="shared" si="47"/>
        <v>0</v>
      </c>
      <c r="R294" s="1469">
        <f t="shared" si="47"/>
        <v>0</v>
      </c>
      <c r="S294" s="1469">
        <f t="shared" si="47"/>
        <v>0</v>
      </c>
      <c r="T294" s="1469">
        <f t="shared" si="47"/>
        <v>0</v>
      </c>
      <c r="U294" s="1469">
        <f t="shared" si="47"/>
        <v>0</v>
      </c>
      <c r="V294" s="1469">
        <f t="shared" si="47"/>
        <v>0</v>
      </c>
      <c r="W294" s="1469">
        <f t="shared" si="47"/>
        <v>1378080</v>
      </c>
      <c r="X294" s="1469">
        <f t="shared" si="47"/>
        <v>0</v>
      </c>
      <c r="Y294" s="1469">
        <f t="shared" si="47"/>
        <v>0</v>
      </c>
      <c r="AB294" s="1422"/>
      <c r="AC294" s="1422"/>
      <c r="AK294" s="1448"/>
      <c r="AL294" s="1449"/>
      <c r="AM294" s="1449"/>
      <c r="AN294" s="1453"/>
      <c r="AO294" s="1453"/>
      <c r="AP294" s="1451"/>
      <c r="AQ294" s="1452"/>
      <c r="AR294" s="1453"/>
      <c r="AS294" s="1453"/>
      <c r="AT294" s="1453"/>
    </row>
    <row r="295" spans="1:46" ht="11.25" customHeight="1">
      <c r="B295" s="1497"/>
      <c r="C295" s="1468"/>
      <c r="D295" s="1468"/>
      <c r="E295" s="1468"/>
      <c r="F295" s="1468"/>
      <c r="G295" s="1468"/>
      <c r="H295" s="1468"/>
      <c r="I295" s="1468"/>
      <c r="J295" s="1468"/>
      <c r="K295" s="1468" t="s">
        <v>365</v>
      </c>
      <c r="L295" s="1499">
        <f>L294</f>
        <v>3875.6</v>
      </c>
      <c r="M295" s="1499">
        <f>M294</f>
        <v>0</v>
      </c>
      <c r="N295" s="1499">
        <f>N281+N294</f>
        <v>408375.79</v>
      </c>
      <c r="O295" s="1499">
        <f t="shared" ref="O295:Y295" si="48">O281+O294</f>
        <v>0</v>
      </c>
      <c r="P295" s="1499">
        <f t="shared" si="48"/>
        <v>0</v>
      </c>
      <c r="Q295" s="1499">
        <f t="shared" si="48"/>
        <v>0</v>
      </c>
      <c r="R295" s="1499">
        <f t="shared" si="48"/>
        <v>1850000</v>
      </c>
      <c r="S295" s="1499">
        <f t="shared" si="48"/>
        <v>1156.0147898839273</v>
      </c>
      <c r="T295" s="1499">
        <f t="shared" si="48"/>
        <v>0</v>
      </c>
      <c r="U295" s="1499">
        <f t="shared" si="48"/>
        <v>76126</v>
      </c>
      <c r="V295" s="1499">
        <f t="shared" si="48"/>
        <v>0</v>
      </c>
      <c r="W295" s="1499">
        <f t="shared" si="48"/>
        <v>9537506</v>
      </c>
      <c r="X295" s="1499">
        <f t="shared" si="48"/>
        <v>0</v>
      </c>
      <c r="Y295" s="1499">
        <f t="shared" si="48"/>
        <v>0</v>
      </c>
      <c r="AB295" s="1422"/>
      <c r="AC295" s="1422"/>
      <c r="AK295" s="1448"/>
      <c r="AL295" s="1449"/>
      <c r="AM295" s="1449"/>
      <c r="AN295" s="1453"/>
      <c r="AO295" s="1453"/>
      <c r="AP295" s="1451"/>
      <c r="AQ295" s="1452"/>
      <c r="AR295" s="1453"/>
      <c r="AS295" s="1453"/>
      <c r="AT295" s="1453"/>
    </row>
    <row r="296" spans="1:46" ht="11.25">
      <c r="AB296" s="1422"/>
      <c r="AC296" s="1422"/>
      <c r="AK296" s="1448"/>
      <c r="AL296" s="1449"/>
      <c r="AM296" s="1449"/>
      <c r="AN296" s="1453"/>
      <c r="AO296" s="1453"/>
      <c r="AP296" s="1451"/>
      <c r="AQ296" s="1452"/>
      <c r="AR296" s="1453"/>
      <c r="AS296" s="1453"/>
      <c r="AT296" s="1453"/>
    </row>
    <row r="297" spans="1:46" ht="11.25">
      <c r="K297" s="1393"/>
      <c r="AB297" s="1422"/>
      <c r="AC297" s="1422"/>
      <c r="AK297" s="1448"/>
      <c r="AL297" s="1449"/>
      <c r="AM297" s="1449"/>
      <c r="AN297" s="1453"/>
      <c r="AO297" s="1453"/>
      <c r="AP297" s="1451"/>
      <c r="AQ297" s="1452"/>
      <c r="AR297" s="1453"/>
      <c r="AS297" s="1453"/>
      <c r="AT297" s="1453"/>
    </row>
    <row r="298" spans="1:46" ht="11.25">
      <c r="K298" s="1394"/>
      <c r="AB298" s="1422"/>
      <c r="AC298" s="1422"/>
      <c r="AK298" s="1448"/>
      <c r="AL298" s="1449"/>
      <c r="AM298" s="1449"/>
      <c r="AN298" s="1453"/>
      <c r="AO298" s="1453"/>
      <c r="AP298" s="1451"/>
      <c r="AQ298" s="1452"/>
      <c r="AR298" s="1453"/>
      <c r="AS298" s="1453"/>
      <c r="AT298" s="1453"/>
    </row>
    <row r="299" spans="1:46" ht="11.25" hidden="1">
      <c r="K299" s="1374"/>
      <c r="L299" s="1416"/>
      <c r="AB299" s="1422"/>
      <c r="AC299" s="1422"/>
      <c r="AK299" s="1448"/>
      <c r="AL299" s="1449"/>
      <c r="AM299" s="1449"/>
      <c r="AN299" s="1453"/>
      <c r="AO299" s="1453"/>
      <c r="AP299" s="1451"/>
      <c r="AQ299" s="1452"/>
      <c r="AR299" s="1453"/>
      <c r="AS299" s="1453"/>
      <c r="AT299" s="1453"/>
    </row>
    <row r="300" spans="1:46" ht="11.25">
      <c r="A300" s="1423"/>
      <c r="B300" s="1423"/>
      <c r="C300" s="1423"/>
      <c r="D300" s="1423"/>
      <c r="E300" s="1423"/>
      <c r="F300" s="1423"/>
      <c r="G300" s="1423"/>
      <c r="H300" s="1423"/>
      <c r="I300" s="1423"/>
      <c r="J300" s="1423"/>
      <c r="K300" s="1423"/>
      <c r="L300" s="1423"/>
      <c r="M300" s="1423"/>
      <c r="N300" s="1423"/>
      <c r="O300" s="1423"/>
      <c r="AB300" s="1422"/>
      <c r="AC300" s="1422"/>
      <c r="AK300" s="1448"/>
      <c r="AL300" s="1449"/>
      <c r="AM300" s="1449"/>
      <c r="AN300" s="1453"/>
      <c r="AO300" s="1453"/>
      <c r="AP300" s="1451"/>
      <c r="AQ300" s="1452"/>
      <c r="AR300" s="1453"/>
      <c r="AS300" s="1453"/>
      <c r="AT300" s="1453"/>
    </row>
    <row r="301" spans="1:46" ht="11.25">
      <c r="A301" s="1423"/>
      <c r="B301" s="1423"/>
      <c r="C301" s="1423"/>
      <c r="D301" s="1423"/>
      <c r="E301" s="1423"/>
      <c r="F301" s="1423"/>
      <c r="G301" s="1423"/>
      <c r="H301" s="1423"/>
      <c r="I301" s="1423"/>
      <c r="J301" s="1423"/>
      <c r="K301" s="1423"/>
      <c r="L301" s="1423"/>
      <c r="M301" s="1423"/>
      <c r="N301" s="1423"/>
      <c r="O301" s="1423"/>
      <c r="AB301" s="1422"/>
      <c r="AC301" s="1422"/>
      <c r="AK301" s="1448"/>
      <c r="AL301" s="1449"/>
      <c r="AM301" s="1449"/>
      <c r="AN301" s="1453"/>
      <c r="AO301" s="1453"/>
      <c r="AP301" s="1451"/>
      <c r="AQ301" s="1452"/>
      <c r="AR301" s="1453"/>
      <c r="AS301" s="1453"/>
      <c r="AT301" s="1453"/>
    </row>
    <row r="302" spans="1:46" ht="11.25">
      <c r="A302" s="1971" t="s">
        <v>558</v>
      </c>
      <c r="B302" s="1972"/>
      <c r="C302" s="1972"/>
      <c r="D302" s="1972"/>
      <c r="E302" s="1972"/>
      <c r="F302" s="1972"/>
      <c r="G302" s="1972"/>
      <c r="H302" s="1972"/>
      <c r="I302" s="1972"/>
      <c r="J302" s="1972"/>
      <c r="K302" s="1972"/>
      <c r="L302" s="1972"/>
      <c r="M302" s="1972"/>
      <c r="N302" s="1972"/>
      <c r="O302" s="1973"/>
      <c r="P302" s="1417"/>
      <c r="Q302" s="1418"/>
      <c r="R302" s="1419"/>
      <c r="S302" s="1420"/>
      <c r="T302" s="1421"/>
      <c r="U302" s="1419"/>
      <c r="V302" s="1375"/>
      <c r="W302" s="1376"/>
      <c r="X302" s="1376"/>
      <c r="Y302" s="1377"/>
      <c r="AB302" s="1422"/>
      <c r="AC302" s="1422"/>
      <c r="AK302" s="1448"/>
      <c r="AL302" s="1449"/>
      <c r="AM302" s="1449"/>
      <c r="AN302" s="1453"/>
      <c r="AO302" s="1453"/>
      <c r="AP302" s="1451"/>
      <c r="AQ302" s="1452"/>
      <c r="AR302" s="1453"/>
      <c r="AS302" s="1453"/>
      <c r="AT302" s="1453"/>
    </row>
    <row r="303" spans="1:46" ht="11.25">
      <c r="A303" s="1424"/>
      <c r="B303" s="1425"/>
      <c r="C303" s="1426" t="s">
        <v>256</v>
      </c>
      <c r="D303" s="1426" t="s">
        <v>257</v>
      </c>
      <c r="E303" s="1427" t="s">
        <v>258</v>
      </c>
      <c r="F303" s="1427" t="s">
        <v>259</v>
      </c>
      <c r="G303" s="1427" t="s">
        <v>260</v>
      </c>
      <c r="H303" s="1427" t="s">
        <v>261</v>
      </c>
      <c r="I303" s="1427" t="s">
        <v>262</v>
      </c>
      <c r="J303" s="1427" t="s">
        <v>263</v>
      </c>
      <c r="K303" s="1974" t="s">
        <v>264</v>
      </c>
      <c r="L303" s="1975"/>
      <c r="M303" s="1975"/>
      <c r="N303" s="1975" t="s">
        <v>265</v>
      </c>
      <c r="O303" s="1976"/>
      <c r="P303" s="1475"/>
      <c r="Q303" s="1476"/>
      <c r="R303" s="1430" t="s">
        <v>266</v>
      </c>
      <c r="S303" s="1430" t="s">
        <v>267</v>
      </c>
      <c r="T303" s="1430"/>
      <c r="U303" s="1430"/>
      <c r="V303" s="1977" t="s">
        <v>268</v>
      </c>
      <c r="W303" s="1978"/>
      <c r="X303" s="1978"/>
      <c r="Y303" s="1979"/>
      <c r="AB303" s="1422"/>
      <c r="AC303" s="1422"/>
      <c r="AK303" s="1448"/>
      <c r="AL303" s="1449"/>
      <c r="AM303" s="1449"/>
      <c r="AN303" s="1453"/>
      <c r="AO303" s="1453"/>
      <c r="AP303" s="1451"/>
      <c r="AQ303" s="1452"/>
      <c r="AR303" s="1453"/>
      <c r="AS303" s="1453"/>
      <c r="AT303" s="1453"/>
    </row>
    <row r="304" spans="1:46" ht="12.75" customHeight="1">
      <c r="A304" s="1436" t="s">
        <v>269</v>
      </c>
      <c r="B304" s="1430" t="s">
        <v>270</v>
      </c>
      <c r="C304" s="1436" t="s">
        <v>271</v>
      </c>
      <c r="D304" s="1436"/>
      <c r="E304" s="1436"/>
      <c r="F304" s="1436"/>
      <c r="G304" s="1436"/>
      <c r="H304" s="1436"/>
      <c r="I304" s="1436"/>
      <c r="J304" s="1436"/>
      <c r="K304" s="1436" t="s">
        <v>272</v>
      </c>
      <c r="L304" s="1429" t="s">
        <v>273</v>
      </c>
      <c r="M304" s="1430" t="s">
        <v>274</v>
      </c>
      <c r="N304" s="1430" t="s">
        <v>275</v>
      </c>
      <c r="O304" s="1430" t="s">
        <v>276</v>
      </c>
      <c r="P304" s="1437" t="s">
        <v>277</v>
      </c>
      <c r="Q304" s="1469" t="s">
        <v>278</v>
      </c>
      <c r="R304" s="1438" t="s">
        <v>279</v>
      </c>
      <c r="S304" s="1438" t="s">
        <v>280</v>
      </c>
      <c r="T304" s="1438" t="s">
        <v>281</v>
      </c>
      <c r="U304" s="1438" t="s">
        <v>282</v>
      </c>
      <c r="V304" s="1378" t="s">
        <v>283</v>
      </c>
      <c r="W304" s="1378" t="s">
        <v>284</v>
      </c>
      <c r="X304" s="1378" t="s">
        <v>285</v>
      </c>
      <c r="Y304" s="1378" t="s">
        <v>286</v>
      </c>
      <c r="AB304" s="1422"/>
      <c r="AC304" s="1422"/>
      <c r="AK304" s="1448"/>
      <c r="AL304" s="1449"/>
      <c r="AM304" s="1449"/>
      <c r="AN304" s="1453"/>
      <c r="AO304" s="1453"/>
      <c r="AP304" s="1451"/>
      <c r="AQ304" s="1452"/>
      <c r="AR304" s="1453"/>
      <c r="AS304" s="1453"/>
      <c r="AT304" s="1453"/>
    </row>
    <row r="305" spans="1:46" ht="12.75" customHeight="1">
      <c r="A305" s="1439"/>
      <c r="B305" s="1440"/>
      <c r="C305" s="1439" t="s">
        <v>2950</v>
      </c>
      <c r="D305" s="1439"/>
      <c r="E305" s="1439"/>
      <c r="F305" s="1439"/>
      <c r="G305" s="1439"/>
      <c r="H305" s="1439"/>
      <c r="I305" s="1439"/>
      <c r="J305" s="1439"/>
      <c r="K305" s="1442" t="s">
        <v>558</v>
      </c>
      <c r="L305" s="1442">
        <v>76089.899999999994</v>
      </c>
      <c r="M305" s="1442"/>
      <c r="N305" s="1442"/>
      <c r="O305" s="1443">
        <f>+L305-10000-10000-10000-2700-2300-6169.97-1700+6169.97+1700</f>
        <v>41089.899999999994</v>
      </c>
      <c r="P305" s="1442">
        <v>7000270.7999999998</v>
      </c>
      <c r="Q305" s="1442">
        <f>+L305</f>
        <v>76089.899999999994</v>
      </c>
      <c r="R305" s="1442">
        <f>+P305</f>
        <v>7000270.7999999998</v>
      </c>
      <c r="S305" s="1444">
        <f>+P305/Q305</f>
        <v>92</v>
      </c>
      <c r="T305" s="1445" t="s">
        <v>335</v>
      </c>
      <c r="U305" s="1446">
        <v>38405</v>
      </c>
      <c r="V305" s="1358"/>
      <c r="W305" s="1358">
        <f>+R305-920000-920000-920000-248400+594569.46+222145.68+203463.88+337220.36+655384.06-4510.73-318053.97-853210.2-235083.37+853210.2+131108.73+235083.37</f>
        <v>5813198.2700000005</v>
      </c>
      <c r="X305" s="1358"/>
      <c r="Y305" s="1358"/>
      <c r="Z305" s="1414" t="s">
        <v>292</v>
      </c>
      <c r="AA305" s="1414" t="s">
        <v>559</v>
      </c>
      <c r="AB305" s="1422"/>
      <c r="AC305" s="1422"/>
      <c r="AK305" s="1439" t="s">
        <v>6124</v>
      </c>
      <c r="AL305" s="1449"/>
      <c r="AM305" s="1449"/>
      <c r="AN305" s="1453"/>
      <c r="AO305" s="1453"/>
      <c r="AP305" s="1451"/>
      <c r="AQ305" s="1452"/>
      <c r="AR305" s="1453"/>
      <c r="AS305" s="1453"/>
      <c r="AT305" s="1453"/>
    </row>
    <row r="306" spans="1:46" ht="12.75" customHeight="1">
      <c r="A306" s="1439"/>
      <c r="B306" s="1440"/>
      <c r="C306" s="1439" t="s">
        <v>560</v>
      </c>
      <c r="D306" s="1439">
        <v>45176715.219999999</v>
      </c>
      <c r="E306" s="1533">
        <v>40026</v>
      </c>
      <c r="F306" s="1533">
        <v>39940</v>
      </c>
      <c r="G306" s="1439"/>
      <c r="H306" s="1439"/>
      <c r="I306" s="1439"/>
      <c r="J306" s="1439" t="s">
        <v>561</v>
      </c>
      <c r="K306" s="1442" t="s">
        <v>558</v>
      </c>
      <c r="L306" s="1442"/>
      <c r="M306" s="1442"/>
      <c r="N306" s="1442"/>
      <c r="O306" s="1443">
        <f>2007854.01</f>
        <v>2007854.01</v>
      </c>
      <c r="P306" s="1442"/>
      <c r="Q306" s="1442"/>
      <c r="R306" s="1442"/>
      <c r="S306" s="1444"/>
      <c r="T306" s="1445"/>
      <c r="U306" s="1446"/>
      <c r="V306" s="1358"/>
      <c r="W306" s="1358">
        <f>45176715.22+36141.37+151082+1142970.95+253362.87</f>
        <v>46760272.409999996</v>
      </c>
      <c r="X306" s="1358"/>
      <c r="Y306" s="1358"/>
      <c r="AB306" s="1422"/>
      <c r="AC306" s="1422"/>
      <c r="AK306" s="1448" t="s">
        <v>6125</v>
      </c>
      <c r="AL306" s="1449" t="s">
        <v>376</v>
      </c>
      <c r="AM306" s="1449" t="s">
        <v>376</v>
      </c>
      <c r="AN306" s="1453" t="s">
        <v>5558</v>
      </c>
      <c r="AO306" s="1453" t="s">
        <v>5558</v>
      </c>
      <c r="AP306" s="1451" t="s">
        <v>5393</v>
      </c>
      <c r="AQ306" s="1452">
        <v>2007854.01</v>
      </c>
      <c r="AR306" s="1453" t="s">
        <v>5559</v>
      </c>
      <c r="AS306" s="1453" t="s">
        <v>5560</v>
      </c>
      <c r="AT306" s="1451" t="s">
        <v>5381</v>
      </c>
    </row>
    <row r="307" spans="1:46" ht="12.75" customHeight="1">
      <c r="A307" s="1439"/>
      <c r="B307" s="1440"/>
      <c r="C307" s="1439"/>
      <c r="D307" s="1439"/>
      <c r="E307" s="1533"/>
      <c r="F307" s="1533"/>
      <c r="G307" s="1439"/>
      <c r="H307" s="1439"/>
      <c r="I307" s="1439"/>
      <c r="J307" s="1439"/>
      <c r="K307" s="1442"/>
      <c r="L307" s="1442"/>
      <c r="M307" s="1442"/>
      <c r="N307" s="1442"/>
      <c r="O307" s="1443"/>
      <c r="P307" s="1442"/>
      <c r="Q307" s="1442"/>
      <c r="R307" s="1442"/>
      <c r="S307" s="1444"/>
      <c r="T307" s="1445"/>
      <c r="U307" s="1446"/>
      <c r="V307" s="1358"/>
      <c r="W307" s="1358"/>
      <c r="X307" s="1358"/>
      <c r="Y307" s="1358"/>
      <c r="AB307" s="1422"/>
      <c r="AC307" s="1422"/>
      <c r="AK307" s="1448"/>
      <c r="AL307" s="1449"/>
      <c r="AM307" s="1449"/>
      <c r="AN307" s="1453"/>
      <c r="AO307" s="1453"/>
      <c r="AP307" s="1451"/>
      <c r="AQ307" s="1452"/>
      <c r="AR307" s="1453"/>
      <c r="AS307" s="1453"/>
      <c r="AT307" s="1451"/>
    </row>
    <row r="308" spans="1:46" ht="12.75" customHeight="1">
      <c r="A308" s="1439"/>
      <c r="B308" s="1440"/>
      <c r="C308" s="1508" t="s">
        <v>558</v>
      </c>
      <c r="D308" s="1508"/>
      <c r="E308" s="1508"/>
      <c r="F308" s="1508"/>
      <c r="G308" s="1508"/>
      <c r="H308" s="1508"/>
      <c r="I308" s="1508"/>
      <c r="J308" s="1508"/>
      <c r="K308" s="1472" t="s">
        <v>98</v>
      </c>
      <c r="L308" s="1455">
        <f>SUM(L305:L305)</f>
        <v>76089.899999999994</v>
      </c>
      <c r="M308" s="1381">
        <f>SUM(M305:M305)</f>
        <v>0</v>
      </c>
      <c r="N308" s="1455">
        <f t="shared" ref="N308:Y308" si="49">SUM(N305:N307)</f>
        <v>0</v>
      </c>
      <c r="O308" s="1455">
        <f t="shared" si="49"/>
        <v>2048943.91</v>
      </c>
      <c r="P308" s="1455">
        <f t="shared" si="49"/>
        <v>7000270.7999999998</v>
      </c>
      <c r="Q308" s="1455">
        <f t="shared" si="49"/>
        <v>76089.899999999994</v>
      </c>
      <c r="R308" s="1455">
        <f t="shared" si="49"/>
        <v>7000270.7999999998</v>
      </c>
      <c r="S308" s="1455">
        <f t="shared" si="49"/>
        <v>92</v>
      </c>
      <c r="T308" s="1455">
        <f t="shared" si="49"/>
        <v>0</v>
      </c>
      <c r="U308" s="1455">
        <f t="shared" si="49"/>
        <v>38405</v>
      </c>
      <c r="V308" s="1455">
        <f t="shared" si="49"/>
        <v>0</v>
      </c>
      <c r="W308" s="1455">
        <f t="shared" si="49"/>
        <v>52573470.68</v>
      </c>
      <c r="X308" s="1455">
        <f t="shared" si="49"/>
        <v>0</v>
      </c>
      <c r="Y308" s="1455">
        <f t="shared" si="49"/>
        <v>0</v>
      </c>
      <c r="AB308" s="1422"/>
      <c r="AC308" s="1422"/>
      <c r="AK308" s="1448"/>
      <c r="AL308" s="1449"/>
      <c r="AM308" s="1449"/>
      <c r="AN308" s="1453"/>
      <c r="AO308" s="1453"/>
      <c r="AP308" s="1451"/>
      <c r="AQ308" s="1452"/>
      <c r="AR308" s="1453"/>
      <c r="AS308" s="1453"/>
      <c r="AT308" s="1451"/>
    </row>
    <row r="309" spans="1:46" ht="12.75" customHeight="1">
      <c r="B309" s="1497"/>
      <c r="C309" s="1467"/>
      <c r="D309" s="1467"/>
      <c r="E309" s="1467"/>
      <c r="F309" s="1467"/>
      <c r="G309" s="1467"/>
      <c r="H309" s="1467"/>
      <c r="I309" s="1467"/>
      <c r="J309" s="1467"/>
      <c r="K309" s="1468" t="s">
        <v>365</v>
      </c>
      <c r="L309" s="1499">
        <f>L308</f>
        <v>76089.899999999994</v>
      </c>
      <c r="M309" s="1499">
        <f t="shared" ref="M309:Y309" si="50">M308</f>
        <v>0</v>
      </c>
      <c r="N309" s="1499">
        <f t="shared" si="50"/>
        <v>0</v>
      </c>
      <c r="O309" s="1499">
        <f t="shared" si="50"/>
        <v>2048943.91</v>
      </c>
      <c r="P309" s="1499"/>
      <c r="Q309" s="1499"/>
      <c r="R309" s="1499"/>
      <c r="S309" s="1499">
        <f t="shared" si="50"/>
        <v>92</v>
      </c>
      <c r="T309" s="1499">
        <f t="shared" si="50"/>
        <v>0</v>
      </c>
      <c r="U309" s="1499">
        <f t="shared" si="50"/>
        <v>38405</v>
      </c>
      <c r="V309" s="1499">
        <f t="shared" si="50"/>
        <v>0</v>
      </c>
      <c r="W309" s="1499">
        <f t="shared" si="50"/>
        <v>52573470.68</v>
      </c>
      <c r="X309" s="1499">
        <f t="shared" si="50"/>
        <v>0</v>
      </c>
      <c r="Y309" s="1499">
        <f t="shared" si="50"/>
        <v>0</v>
      </c>
      <c r="AB309" s="1422"/>
      <c r="AC309" s="1422"/>
      <c r="AK309" s="1448"/>
      <c r="AL309" s="1449"/>
      <c r="AM309" s="1449"/>
      <c r="AN309" s="1453"/>
      <c r="AO309" s="1453"/>
      <c r="AP309" s="1451"/>
      <c r="AQ309" s="1452"/>
      <c r="AR309" s="1453"/>
      <c r="AS309" s="1453"/>
      <c r="AT309" s="1451"/>
    </row>
    <row r="310" spans="1:46" ht="11.25">
      <c r="A310" s="1423"/>
      <c r="B310" s="1423"/>
      <c r="C310" s="1423"/>
      <c r="D310" s="1423"/>
      <c r="E310" s="1423"/>
      <c r="F310" s="1423"/>
      <c r="G310" s="1423"/>
      <c r="H310" s="1423"/>
      <c r="I310" s="1423"/>
      <c r="J310" s="1423"/>
      <c r="K310" s="1423"/>
      <c r="L310" s="1423"/>
      <c r="M310" s="1423"/>
      <c r="N310" s="1423"/>
      <c r="O310" s="1423"/>
      <c r="AB310" s="1422"/>
      <c r="AC310" s="1422"/>
      <c r="AK310" s="1448"/>
      <c r="AL310" s="1449"/>
      <c r="AM310" s="1449"/>
      <c r="AN310" s="1453"/>
      <c r="AO310" s="1453"/>
      <c r="AP310" s="1451"/>
      <c r="AQ310" s="1452"/>
      <c r="AR310" s="1453"/>
      <c r="AS310" s="1453"/>
      <c r="AT310" s="1451"/>
    </row>
    <row r="311" spans="1:46" ht="11.25">
      <c r="A311" s="1423"/>
      <c r="B311" s="1423"/>
      <c r="C311" s="1423"/>
      <c r="D311" s="1423"/>
      <c r="E311" s="1423"/>
      <c r="F311" s="1423"/>
      <c r="G311" s="1423"/>
      <c r="H311" s="1423"/>
      <c r="I311" s="1423"/>
      <c r="J311" s="1423"/>
      <c r="K311" s="1423"/>
      <c r="L311" s="1423"/>
      <c r="M311" s="1423"/>
      <c r="N311" s="1423"/>
      <c r="O311" s="1423"/>
      <c r="AB311" s="1422"/>
      <c r="AC311" s="1422"/>
      <c r="AK311" s="1448"/>
      <c r="AL311" s="1449"/>
      <c r="AM311" s="1449"/>
      <c r="AN311" s="1453"/>
      <c r="AO311" s="1453"/>
      <c r="AP311" s="1451"/>
      <c r="AQ311" s="1452"/>
      <c r="AR311" s="1453"/>
      <c r="AS311" s="1453"/>
      <c r="AT311" s="1451"/>
    </row>
    <row r="312" spans="1:46" ht="11.25">
      <c r="A312" s="1423"/>
      <c r="B312" s="1423"/>
      <c r="C312" s="1423"/>
      <c r="D312" s="1423"/>
      <c r="E312" s="1423"/>
      <c r="F312" s="1423"/>
      <c r="G312" s="1423"/>
      <c r="H312" s="1423"/>
      <c r="I312" s="1423"/>
      <c r="J312" s="1423"/>
      <c r="K312" s="1423"/>
      <c r="L312" s="1423"/>
      <c r="M312" s="1423"/>
      <c r="N312" s="1423"/>
      <c r="O312" s="1423"/>
      <c r="AB312" s="1422"/>
      <c r="AC312" s="1422"/>
      <c r="AK312" s="1448"/>
      <c r="AL312" s="1449"/>
      <c r="AM312" s="1449"/>
      <c r="AN312" s="1453"/>
      <c r="AO312" s="1453"/>
      <c r="AP312" s="1451"/>
      <c r="AQ312" s="1452"/>
      <c r="AR312" s="1453"/>
      <c r="AS312" s="1453"/>
      <c r="AT312" s="1451"/>
    </row>
    <row r="313" spans="1:46" ht="11.25">
      <c r="A313" s="1971" t="s">
        <v>562</v>
      </c>
      <c r="B313" s="1972"/>
      <c r="C313" s="1972"/>
      <c r="D313" s="1972"/>
      <c r="E313" s="1972"/>
      <c r="F313" s="1972"/>
      <c r="G313" s="1972"/>
      <c r="H313" s="1972"/>
      <c r="I313" s="1972"/>
      <c r="J313" s="1972"/>
      <c r="K313" s="1972"/>
      <c r="L313" s="1972"/>
      <c r="M313" s="1972"/>
      <c r="N313" s="1972"/>
      <c r="O313" s="1973"/>
      <c r="P313" s="1420"/>
      <c r="Q313" s="1421"/>
      <c r="R313" s="1419"/>
      <c r="S313" s="1420"/>
      <c r="T313" s="1421"/>
      <c r="U313" s="1419"/>
      <c r="V313" s="1375"/>
      <c r="W313" s="1376"/>
      <c r="X313" s="1376"/>
      <c r="Y313" s="1377"/>
      <c r="AB313" s="1422"/>
      <c r="AC313" s="1422"/>
      <c r="AK313" s="1448"/>
      <c r="AL313" s="1449"/>
      <c r="AM313" s="1449"/>
      <c r="AN313" s="1453"/>
      <c r="AO313" s="1453"/>
      <c r="AP313" s="1451"/>
      <c r="AQ313" s="1452"/>
      <c r="AR313" s="1453"/>
      <c r="AS313" s="1453"/>
      <c r="AT313" s="1451"/>
    </row>
    <row r="314" spans="1:46" ht="11.25">
      <c r="A314" s="1424"/>
      <c r="B314" s="1425"/>
      <c r="C314" s="1426" t="s">
        <v>256</v>
      </c>
      <c r="D314" s="1426" t="s">
        <v>257</v>
      </c>
      <c r="E314" s="1427" t="s">
        <v>258</v>
      </c>
      <c r="F314" s="1427" t="s">
        <v>259</v>
      </c>
      <c r="G314" s="1427" t="s">
        <v>260</v>
      </c>
      <c r="H314" s="1427" t="s">
        <v>261</v>
      </c>
      <c r="I314" s="1427" t="s">
        <v>262</v>
      </c>
      <c r="J314" s="1427" t="s">
        <v>263</v>
      </c>
      <c r="K314" s="1974" t="s">
        <v>264</v>
      </c>
      <c r="L314" s="1975"/>
      <c r="M314" s="1975"/>
      <c r="N314" s="1975" t="s">
        <v>265</v>
      </c>
      <c r="O314" s="1976"/>
      <c r="P314" s="1428"/>
      <c r="Q314" s="1429"/>
      <c r="R314" s="1430" t="s">
        <v>266</v>
      </c>
      <c r="S314" s="1430" t="s">
        <v>267</v>
      </c>
      <c r="T314" s="1430"/>
      <c r="U314" s="1430"/>
      <c r="V314" s="1977" t="s">
        <v>268</v>
      </c>
      <c r="W314" s="1978"/>
      <c r="X314" s="1978"/>
      <c r="Y314" s="1979"/>
      <c r="AB314" s="1422"/>
      <c r="AC314" s="1422"/>
      <c r="AK314" s="1448"/>
      <c r="AL314" s="1449"/>
      <c r="AM314" s="1449"/>
      <c r="AN314" s="1453"/>
      <c r="AO314" s="1453"/>
      <c r="AP314" s="1451"/>
      <c r="AQ314" s="1452"/>
      <c r="AR314" s="1453"/>
      <c r="AS314" s="1453"/>
      <c r="AT314" s="1451"/>
    </row>
    <row r="315" spans="1:46" ht="11.25">
      <c r="A315" s="1436" t="s">
        <v>269</v>
      </c>
      <c r="B315" s="1430" t="s">
        <v>270</v>
      </c>
      <c r="C315" s="1436" t="s">
        <v>271</v>
      </c>
      <c r="D315" s="1436"/>
      <c r="E315" s="1436"/>
      <c r="F315" s="1436"/>
      <c r="G315" s="1436"/>
      <c r="H315" s="1436"/>
      <c r="I315" s="1436"/>
      <c r="J315" s="1436"/>
      <c r="K315" s="1436" t="s">
        <v>272</v>
      </c>
      <c r="L315" s="1429" t="s">
        <v>273</v>
      </c>
      <c r="M315" s="1430" t="s">
        <v>274</v>
      </c>
      <c r="N315" s="1430" t="s">
        <v>275</v>
      </c>
      <c r="O315" s="1430" t="s">
        <v>276</v>
      </c>
      <c r="P315" s="1437" t="s">
        <v>277</v>
      </c>
      <c r="Q315" s="1437" t="s">
        <v>278</v>
      </c>
      <c r="R315" s="1438" t="s">
        <v>279</v>
      </c>
      <c r="S315" s="1438" t="s">
        <v>280</v>
      </c>
      <c r="T315" s="1438" t="s">
        <v>281</v>
      </c>
      <c r="U315" s="1438" t="s">
        <v>282</v>
      </c>
      <c r="V315" s="1378" t="s">
        <v>283</v>
      </c>
      <c r="W315" s="1378" t="s">
        <v>284</v>
      </c>
      <c r="X315" s="1378" t="s">
        <v>285</v>
      </c>
      <c r="Y315" s="1378" t="s">
        <v>286</v>
      </c>
      <c r="AB315" s="1422"/>
      <c r="AC315" s="1422"/>
      <c r="AK315" s="1448"/>
      <c r="AL315" s="1449"/>
      <c r="AM315" s="1449"/>
      <c r="AN315" s="1453"/>
      <c r="AO315" s="1453"/>
      <c r="AP315" s="1451"/>
      <c r="AQ315" s="1452"/>
      <c r="AR315" s="1453"/>
      <c r="AS315" s="1453"/>
      <c r="AT315" s="1451"/>
    </row>
    <row r="316" spans="1:46" ht="12.75" customHeight="1">
      <c r="A316" s="1439"/>
      <c r="B316" s="1440"/>
      <c r="C316" s="1439" t="s">
        <v>563</v>
      </c>
      <c r="D316" s="1439"/>
      <c r="E316" s="1439"/>
      <c r="F316" s="1439"/>
      <c r="G316" s="1439">
        <v>348</v>
      </c>
      <c r="H316" s="1439" t="s">
        <v>313</v>
      </c>
      <c r="I316" s="1439">
        <v>99</v>
      </c>
      <c r="J316" s="1439" t="s">
        <v>263</v>
      </c>
      <c r="K316" s="1442" t="s">
        <v>562</v>
      </c>
      <c r="L316" s="1442">
        <v>373276.8</v>
      </c>
      <c r="M316" s="1439"/>
      <c r="N316" s="1442"/>
      <c r="O316" s="1442">
        <f>+L316-185000+135000-100000-100000-104287.62+50000-40000</f>
        <v>28989.179999999993</v>
      </c>
      <c r="P316" s="1442">
        <v>5076564</v>
      </c>
      <c r="Q316" s="1442">
        <f>+L316</f>
        <v>373276.8</v>
      </c>
      <c r="R316" s="1442">
        <f>+P316</f>
        <v>5076564</v>
      </c>
      <c r="S316" s="1444">
        <f>+P316/Q316</f>
        <v>13.599998714090992</v>
      </c>
      <c r="T316" s="1445" t="s">
        <v>335</v>
      </c>
      <c r="U316" s="1446">
        <v>38411</v>
      </c>
      <c r="V316" s="1358"/>
      <c r="W316" s="1358">
        <f>+R316-2515999.78+1835999.82-1359999.86-1359999.86-1418311.5+680000-544000</f>
        <v>394252.8199999996</v>
      </c>
      <c r="X316" s="1358"/>
      <c r="Y316" s="1358"/>
      <c r="Z316" s="1414" t="s">
        <v>292</v>
      </c>
      <c r="AA316" s="1414" t="s">
        <v>564</v>
      </c>
      <c r="AB316" s="1422"/>
      <c r="AC316" s="1422"/>
      <c r="AK316" s="1448" t="s">
        <v>6126</v>
      </c>
      <c r="AL316" s="1449" t="s">
        <v>376</v>
      </c>
      <c r="AM316" s="1449" t="s">
        <v>376</v>
      </c>
      <c r="AN316" s="1450" t="s">
        <v>562</v>
      </c>
      <c r="AO316" s="1450" t="s">
        <v>562</v>
      </c>
      <c r="AP316" s="1451" t="s">
        <v>5393</v>
      </c>
      <c r="AQ316" s="1452">
        <v>28989.18</v>
      </c>
      <c r="AR316" s="1453" t="s">
        <v>5561</v>
      </c>
      <c r="AS316" s="1453" t="s">
        <v>5562</v>
      </c>
      <c r="AT316" s="1451" t="s">
        <v>5381</v>
      </c>
    </row>
    <row r="317" spans="1:46" ht="12.75" customHeight="1">
      <c r="A317" s="1439"/>
      <c r="B317" s="1440"/>
      <c r="C317" s="1439" t="s">
        <v>565</v>
      </c>
      <c r="D317" s="1439"/>
      <c r="E317" s="1439"/>
      <c r="F317" s="1439"/>
      <c r="G317" s="1439"/>
      <c r="H317" s="1439"/>
      <c r="I317" s="1439"/>
      <c r="J317" s="1439"/>
      <c r="K317" s="1442" t="s">
        <v>562</v>
      </c>
      <c r="L317" s="1442">
        <v>208538.59</v>
      </c>
      <c r="M317" s="1364"/>
      <c r="N317" s="1442"/>
      <c r="O317" s="1442">
        <f>+L317-10000-8617.74-10000-19583.31-14036.65-7223.48-3400-698.7-3012-20089.49-10000</f>
        <v>101877.21999999999</v>
      </c>
      <c r="P317" s="1442">
        <v>2268900</v>
      </c>
      <c r="Q317" s="1442">
        <f>+L317</f>
        <v>208538.59</v>
      </c>
      <c r="R317" s="1442">
        <f>+P317</f>
        <v>2268900</v>
      </c>
      <c r="S317" s="1444">
        <f>+P317/Q317</f>
        <v>10.880000675174797</v>
      </c>
      <c r="T317" s="1445" t="s">
        <v>335</v>
      </c>
      <c r="U317" s="1446">
        <v>38411</v>
      </c>
      <c r="V317" s="1358"/>
      <c r="W317" s="1358">
        <f>+R317-108800-93761.02-108800.01-213066.42-152718.75-48591.47-37725.41-7752.57-33420.27-222907.11-110957.08+1499123.96+357967.18+202432.95+1532127.13+1361439.78+43017.77</f>
        <v>6126508.6600000001</v>
      </c>
      <c r="X317" s="1358"/>
      <c r="Y317" s="1358"/>
      <c r="Z317" s="1414" t="s">
        <v>292</v>
      </c>
      <c r="AA317" s="1414" t="s">
        <v>564</v>
      </c>
      <c r="AB317" s="1422"/>
      <c r="AC317" s="1422"/>
      <c r="AK317" s="1439" t="s">
        <v>6127</v>
      </c>
      <c r="AL317" s="1449"/>
      <c r="AM317" s="1449"/>
      <c r="AN317" s="1450"/>
      <c r="AO317" s="1450"/>
      <c r="AP317" s="1451"/>
      <c r="AQ317" s="1452"/>
      <c r="AR317" s="1453"/>
      <c r="AS317" s="1453"/>
      <c r="AT317" s="1451"/>
    </row>
    <row r="318" spans="1:46" ht="12.75" customHeight="1">
      <c r="A318" s="1439"/>
      <c r="B318" s="1440"/>
      <c r="C318" s="1470" t="s">
        <v>365</v>
      </c>
      <c r="D318" s="1470"/>
      <c r="E318" s="1470"/>
      <c r="F318" s="1470"/>
      <c r="G318" s="1470"/>
      <c r="H318" s="1470"/>
      <c r="I318" s="1470"/>
      <c r="J318" s="1470"/>
      <c r="K318" s="1472" t="s">
        <v>98</v>
      </c>
      <c r="L318" s="1455">
        <f t="shared" ref="L318:Q318" si="51">SUM(L316:L317)</f>
        <v>581815.39</v>
      </c>
      <c r="M318" s="1455">
        <f t="shared" si="51"/>
        <v>0</v>
      </c>
      <c r="N318" s="1455">
        <f t="shared" si="51"/>
        <v>0</v>
      </c>
      <c r="O318" s="1455">
        <f t="shared" si="51"/>
        <v>130866.39999999998</v>
      </c>
      <c r="P318" s="1455">
        <f t="shared" si="51"/>
        <v>7345464</v>
      </c>
      <c r="Q318" s="1455">
        <f t="shared" si="51"/>
        <v>581815.39</v>
      </c>
      <c r="R318" s="1455">
        <f>SUM(R316:R317)</f>
        <v>7345464</v>
      </c>
      <c r="S318" s="1455"/>
      <c r="T318" s="1455"/>
      <c r="U318" s="1455"/>
      <c r="V318" s="1371">
        <f>SUM(V316:V317)</f>
        <v>0</v>
      </c>
      <c r="W318" s="1371">
        <f>SUM(W316:W317)</f>
        <v>6520761.4799999995</v>
      </c>
      <c r="X318" s="1371">
        <f>SUM(X316:X317)</f>
        <v>0</v>
      </c>
      <c r="Y318" s="1371">
        <f>SUM(Y316:Y317)</f>
        <v>0</v>
      </c>
      <c r="AB318" s="1422"/>
      <c r="AC318" s="1422"/>
      <c r="AK318" s="1448"/>
      <c r="AL318" s="1449"/>
      <c r="AM318" s="1449"/>
      <c r="AN318" s="1450"/>
      <c r="AO318" s="1450"/>
      <c r="AP318" s="1451"/>
      <c r="AQ318" s="1452"/>
      <c r="AR318" s="1453"/>
      <c r="AS318" s="1453"/>
      <c r="AT318" s="1451"/>
    </row>
    <row r="319" spans="1:46" ht="12.75" customHeight="1">
      <c r="B319" s="1497"/>
      <c r="C319" s="1416"/>
      <c r="D319" s="1416"/>
      <c r="E319" s="1416"/>
      <c r="F319" s="1416"/>
      <c r="G319" s="1416"/>
      <c r="H319" s="1416"/>
      <c r="I319" s="1416"/>
      <c r="J319" s="1416"/>
      <c r="K319" s="1468" t="s">
        <v>365</v>
      </c>
      <c r="L319" s="1499">
        <f>L318</f>
        <v>581815.39</v>
      </c>
      <c r="M319" s="1499">
        <f t="shared" ref="M319:Y319" si="52">M318</f>
        <v>0</v>
      </c>
      <c r="N319" s="1499">
        <f t="shared" si="52"/>
        <v>0</v>
      </c>
      <c r="O319" s="1499">
        <f t="shared" si="52"/>
        <v>130866.39999999998</v>
      </c>
      <c r="P319" s="1499"/>
      <c r="Q319" s="1499"/>
      <c r="R319" s="1499"/>
      <c r="S319" s="1499">
        <f t="shared" si="52"/>
        <v>0</v>
      </c>
      <c r="T319" s="1499">
        <f t="shared" si="52"/>
        <v>0</v>
      </c>
      <c r="U319" s="1499">
        <f t="shared" si="52"/>
        <v>0</v>
      </c>
      <c r="V319" s="1499">
        <f t="shared" si="52"/>
        <v>0</v>
      </c>
      <c r="W319" s="1499">
        <f t="shared" si="52"/>
        <v>6520761.4799999995</v>
      </c>
      <c r="X319" s="1499">
        <f t="shared" si="52"/>
        <v>0</v>
      </c>
      <c r="Y319" s="1499">
        <f t="shared" si="52"/>
        <v>0</v>
      </c>
      <c r="AB319" s="1422"/>
      <c r="AC319" s="1422"/>
      <c r="AK319" s="1448"/>
      <c r="AL319" s="1449"/>
      <c r="AM319" s="1449"/>
      <c r="AN319" s="1450"/>
      <c r="AO319" s="1450"/>
      <c r="AP319" s="1451"/>
      <c r="AQ319" s="1452"/>
      <c r="AR319" s="1453"/>
      <c r="AS319" s="1453"/>
      <c r="AT319" s="1451"/>
    </row>
    <row r="320" spans="1:46" ht="12.75" customHeight="1">
      <c r="B320" s="1497"/>
      <c r="C320" s="1416"/>
      <c r="D320" s="1416"/>
      <c r="E320" s="1416"/>
      <c r="F320" s="1416"/>
      <c r="G320" s="1416"/>
      <c r="H320" s="1416"/>
      <c r="I320" s="1416"/>
      <c r="J320" s="1416"/>
      <c r="K320" s="1468"/>
      <c r="L320" s="1499"/>
      <c r="M320" s="1499"/>
      <c r="N320" s="1499"/>
      <c r="O320" s="1499"/>
      <c r="P320" s="1499"/>
      <c r="Q320" s="1499"/>
      <c r="R320" s="1499"/>
      <c r="S320" s="1499"/>
      <c r="T320" s="1499"/>
      <c r="U320" s="1499"/>
      <c r="V320" s="1368"/>
      <c r="W320" s="1368"/>
      <c r="X320" s="1368"/>
      <c r="Y320" s="1368"/>
      <c r="AB320" s="1422"/>
      <c r="AC320" s="1422"/>
      <c r="AK320" s="1448"/>
      <c r="AL320" s="1449"/>
      <c r="AM320" s="1449"/>
      <c r="AN320" s="1450"/>
      <c r="AO320" s="1450"/>
      <c r="AP320" s="1451"/>
      <c r="AQ320" s="1452"/>
      <c r="AR320" s="1453"/>
      <c r="AS320" s="1453"/>
      <c r="AT320" s="1451"/>
    </row>
    <row r="321" spans="1:46" ht="11.25">
      <c r="AB321" s="1422"/>
      <c r="AC321" s="1422"/>
      <c r="AK321" s="1448"/>
      <c r="AL321" s="1449"/>
      <c r="AM321" s="1449"/>
      <c r="AN321" s="1450"/>
      <c r="AO321" s="1450"/>
      <c r="AP321" s="1451"/>
      <c r="AQ321" s="1452"/>
      <c r="AR321" s="1453"/>
      <c r="AS321" s="1453"/>
      <c r="AT321" s="1451"/>
    </row>
    <row r="322" spans="1:46" ht="11.25">
      <c r="AB322" s="1422"/>
      <c r="AC322" s="1422"/>
      <c r="AK322" s="1448"/>
      <c r="AL322" s="1449"/>
      <c r="AM322" s="1449"/>
      <c r="AN322" s="1450"/>
      <c r="AO322" s="1450"/>
      <c r="AP322" s="1451"/>
      <c r="AQ322" s="1452"/>
      <c r="AR322" s="1453"/>
      <c r="AS322" s="1453"/>
      <c r="AT322" s="1451"/>
    </row>
    <row r="323" spans="1:46" ht="11.25">
      <c r="A323" s="1971" t="s">
        <v>566</v>
      </c>
      <c r="B323" s="1972"/>
      <c r="C323" s="1972"/>
      <c r="D323" s="1972"/>
      <c r="E323" s="1972"/>
      <c r="F323" s="1972"/>
      <c r="G323" s="1972"/>
      <c r="H323" s="1972"/>
      <c r="I323" s="1972"/>
      <c r="J323" s="1972"/>
      <c r="K323" s="1972"/>
      <c r="L323" s="1972"/>
      <c r="M323" s="1972"/>
      <c r="N323" s="1972"/>
      <c r="O323" s="1973"/>
      <c r="P323" s="1417"/>
      <c r="Q323" s="1418"/>
      <c r="R323" s="1419"/>
      <c r="S323" s="1420"/>
      <c r="T323" s="1421"/>
      <c r="U323" s="1419"/>
      <c r="V323" s="1375"/>
      <c r="W323" s="1376"/>
      <c r="X323" s="1376"/>
      <c r="Y323" s="1377"/>
      <c r="AB323" s="1422"/>
      <c r="AC323" s="1422"/>
      <c r="AK323" s="1448"/>
      <c r="AL323" s="1449"/>
      <c r="AM323" s="1449"/>
      <c r="AN323" s="1450"/>
      <c r="AO323" s="1450"/>
      <c r="AP323" s="1451"/>
      <c r="AQ323" s="1452"/>
      <c r="AR323" s="1453"/>
      <c r="AS323" s="1453"/>
      <c r="AT323" s="1451"/>
    </row>
    <row r="324" spans="1:46" ht="11.25">
      <c r="A324" s="1424"/>
      <c r="B324" s="1425"/>
      <c r="C324" s="1426" t="s">
        <v>256</v>
      </c>
      <c r="D324" s="1426" t="s">
        <v>257</v>
      </c>
      <c r="E324" s="1427" t="s">
        <v>258</v>
      </c>
      <c r="F324" s="1427" t="s">
        <v>259</v>
      </c>
      <c r="G324" s="1427" t="s">
        <v>260</v>
      </c>
      <c r="H324" s="1427" t="s">
        <v>261</v>
      </c>
      <c r="I324" s="1427" t="s">
        <v>262</v>
      </c>
      <c r="J324" s="1427" t="s">
        <v>263</v>
      </c>
      <c r="K324" s="1974" t="s">
        <v>264</v>
      </c>
      <c r="L324" s="1975"/>
      <c r="M324" s="1975"/>
      <c r="N324" s="1975" t="s">
        <v>265</v>
      </c>
      <c r="O324" s="1976"/>
      <c r="P324" s="1475"/>
      <c r="Q324" s="1476"/>
      <c r="R324" s="1430" t="s">
        <v>266</v>
      </c>
      <c r="S324" s="1430" t="s">
        <v>267</v>
      </c>
      <c r="T324" s="1430"/>
      <c r="U324" s="1430"/>
      <c r="V324" s="1977" t="s">
        <v>268</v>
      </c>
      <c r="W324" s="1978"/>
      <c r="X324" s="1978"/>
      <c r="Y324" s="1979"/>
      <c r="AB324" s="1422"/>
      <c r="AC324" s="1422"/>
      <c r="AK324" s="1448"/>
      <c r="AL324" s="1449"/>
      <c r="AM324" s="1449"/>
      <c r="AN324" s="1450"/>
      <c r="AO324" s="1450"/>
      <c r="AP324" s="1451"/>
      <c r="AQ324" s="1452"/>
      <c r="AR324" s="1453"/>
      <c r="AS324" s="1453"/>
      <c r="AT324" s="1451"/>
    </row>
    <row r="325" spans="1:46" ht="11.25">
      <c r="A325" s="1436" t="s">
        <v>269</v>
      </c>
      <c r="B325" s="1430" t="s">
        <v>270</v>
      </c>
      <c r="C325" s="1436" t="s">
        <v>271</v>
      </c>
      <c r="D325" s="1436"/>
      <c r="E325" s="1436"/>
      <c r="F325" s="1436"/>
      <c r="G325" s="1436"/>
      <c r="H325" s="1436"/>
      <c r="I325" s="1436"/>
      <c r="J325" s="1436"/>
      <c r="K325" s="1436" t="s">
        <v>272</v>
      </c>
      <c r="L325" s="1429" t="s">
        <v>273</v>
      </c>
      <c r="M325" s="1430" t="s">
        <v>274</v>
      </c>
      <c r="N325" s="1430" t="s">
        <v>275</v>
      </c>
      <c r="O325" s="1430" t="s">
        <v>276</v>
      </c>
      <c r="P325" s="1437" t="s">
        <v>277</v>
      </c>
      <c r="Q325" s="1437" t="s">
        <v>278</v>
      </c>
      <c r="R325" s="1438" t="s">
        <v>279</v>
      </c>
      <c r="S325" s="1438" t="s">
        <v>280</v>
      </c>
      <c r="T325" s="1438" t="s">
        <v>281</v>
      </c>
      <c r="U325" s="1438" t="s">
        <v>282</v>
      </c>
      <c r="V325" s="1378" t="s">
        <v>283</v>
      </c>
      <c r="W325" s="1378" t="s">
        <v>284</v>
      </c>
      <c r="X325" s="1378" t="s">
        <v>285</v>
      </c>
      <c r="Y325" s="1378" t="s">
        <v>286</v>
      </c>
      <c r="AB325" s="1422"/>
      <c r="AC325" s="1422"/>
      <c r="AK325" s="1448"/>
      <c r="AL325" s="1449"/>
      <c r="AM325" s="1449"/>
      <c r="AN325" s="1450"/>
      <c r="AO325" s="1450"/>
      <c r="AP325" s="1451"/>
      <c r="AQ325" s="1452"/>
      <c r="AR325" s="1453"/>
      <c r="AS325" s="1453"/>
      <c r="AT325" s="1451"/>
    </row>
    <row r="326" spans="1:46" ht="11.25" hidden="1">
      <c r="A326" s="1439"/>
      <c r="B326" s="1440"/>
      <c r="C326" s="1439" t="s">
        <v>385</v>
      </c>
      <c r="D326" s="1439"/>
      <c r="E326" s="1439"/>
      <c r="F326" s="1439"/>
      <c r="G326" s="1439"/>
      <c r="H326" s="1439"/>
      <c r="I326" s="1439"/>
      <c r="J326" s="1439"/>
      <c r="K326" s="1442" t="s">
        <v>567</v>
      </c>
      <c r="L326" s="1442">
        <v>49701.33</v>
      </c>
      <c r="M326" s="1442"/>
      <c r="N326" s="1442"/>
      <c r="O326" s="1443">
        <f>+L326-49701.33</f>
        <v>0</v>
      </c>
      <c r="P326" s="1442">
        <v>1590442.59</v>
      </c>
      <c r="Q326" s="1442">
        <f>+L326</f>
        <v>49701.33</v>
      </c>
      <c r="R326" s="1442">
        <f>+P326</f>
        <v>1590442.59</v>
      </c>
      <c r="S326" s="1444">
        <f>+P326/Q326</f>
        <v>32.000000603605578</v>
      </c>
      <c r="T326" s="1445" t="s">
        <v>335</v>
      </c>
      <c r="U326" s="1446">
        <v>38411</v>
      </c>
      <c r="V326" s="1358"/>
      <c r="W326" s="1358">
        <f>+R326-1590442.59</f>
        <v>0</v>
      </c>
      <c r="X326" s="1358"/>
      <c r="Y326" s="1358"/>
      <c r="Z326" s="1414" t="s">
        <v>292</v>
      </c>
      <c r="AA326" s="1414" t="s">
        <v>568</v>
      </c>
      <c r="AB326" s="1422"/>
      <c r="AC326" s="1422"/>
      <c r="AK326" s="1448"/>
      <c r="AL326" s="1449"/>
      <c r="AM326" s="1449"/>
      <c r="AN326" s="1450"/>
      <c r="AO326" s="1450"/>
      <c r="AP326" s="1451"/>
      <c r="AQ326" s="1452"/>
      <c r="AR326" s="1453"/>
      <c r="AS326" s="1453"/>
      <c r="AT326" s="1451"/>
    </row>
    <row r="327" spans="1:46" ht="11.25">
      <c r="A327" s="1439"/>
      <c r="B327" s="1440"/>
      <c r="C327" s="1508" t="s">
        <v>567</v>
      </c>
      <c r="D327" s="1508"/>
      <c r="E327" s="1508"/>
      <c r="F327" s="1508"/>
      <c r="G327" s="1508"/>
      <c r="H327" s="1508"/>
      <c r="I327" s="1508"/>
      <c r="J327" s="1508"/>
      <c r="K327" s="1472" t="s">
        <v>98</v>
      </c>
      <c r="L327" s="1455">
        <f t="shared" ref="L327:R327" si="53">SUM(L326:L326)</f>
        <v>49701.33</v>
      </c>
      <c r="M327" s="1381">
        <f t="shared" si="53"/>
        <v>0</v>
      </c>
      <c r="N327" s="1455">
        <f t="shared" si="53"/>
        <v>0</v>
      </c>
      <c r="O327" s="1455">
        <f t="shared" si="53"/>
        <v>0</v>
      </c>
      <c r="P327" s="1455">
        <f t="shared" si="53"/>
        <v>1590442.59</v>
      </c>
      <c r="Q327" s="1455">
        <f t="shared" si="53"/>
        <v>49701.33</v>
      </c>
      <c r="R327" s="1455">
        <f t="shared" si="53"/>
        <v>1590442.59</v>
      </c>
      <c r="S327" s="1439"/>
      <c r="T327" s="1439"/>
      <c r="U327" s="1439"/>
      <c r="V327" s="1358">
        <f>SUM(V326)</f>
        <v>0</v>
      </c>
      <c r="W327" s="1371">
        <f>SUM(W326)</f>
        <v>0</v>
      </c>
      <c r="X327" s="1358">
        <f>SUM(X326)</f>
        <v>0</v>
      </c>
      <c r="Y327" s="1358">
        <f>SUM(Y326)</f>
        <v>0</v>
      </c>
      <c r="AB327" s="1422"/>
      <c r="AC327" s="1422"/>
      <c r="AK327" s="1448"/>
      <c r="AL327" s="1449"/>
      <c r="AM327" s="1449"/>
      <c r="AN327" s="1450"/>
      <c r="AO327" s="1450"/>
      <c r="AP327" s="1451"/>
      <c r="AQ327" s="1452"/>
      <c r="AR327" s="1453"/>
      <c r="AS327" s="1453"/>
      <c r="AT327" s="1451"/>
    </row>
    <row r="328" spans="1:46" ht="12" customHeight="1">
      <c r="B328" s="1497"/>
      <c r="C328" s="1467"/>
      <c r="D328" s="1467"/>
      <c r="E328" s="1467"/>
      <c r="F328" s="1467"/>
      <c r="G328" s="1467"/>
      <c r="H328" s="1467"/>
      <c r="I328" s="1467"/>
      <c r="J328" s="1467"/>
      <c r="K328" s="1468" t="s">
        <v>365</v>
      </c>
      <c r="L328" s="1499">
        <f>L327</f>
        <v>49701.33</v>
      </c>
      <c r="M328" s="1499">
        <f t="shared" ref="M328:AD328" si="54">M327</f>
        <v>0</v>
      </c>
      <c r="N328" s="1499">
        <f t="shared" si="54"/>
        <v>0</v>
      </c>
      <c r="O328" s="1499">
        <f t="shared" si="54"/>
        <v>0</v>
      </c>
      <c r="P328" s="1499"/>
      <c r="Q328" s="1499"/>
      <c r="R328" s="1499"/>
      <c r="S328" s="1499">
        <f t="shared" si="54"/>
        <v>0</v>
      </c>
      <c r="T328" s="1499">
        <f t="shared" si="54"/>
        <v>0</v>
      </c>
      <c r="U328" s="1499">
        <f t="shared" si="54"/>
        <v>0</v>
      </c>
      <c r="V328" s="1499">
        <f t="shared" si="54"/>
        <v>0</v>
      </c>
      <c r="W328" s="1499">
        <f t="shared" si="54"/>
        <v>0</v>
      </c>
      <c r="X328" s="1499">
        <f t="shared" si="54"/>
        <v>0</v>
      </c>
      <c r="Y328" s="1499">
        <f t="shared" si="54"/>
        <v>0</v>
      </c>
      <c r="Z328" s="1499">
        <f t="shared" si="54"/>
        <v>0</v>
      </c>
      <c r="AA328" s="1499">
        <f t="shared" si="54"/>
        <v>0</v>
      </c>
      <c r="AB328" s="1499">
        <f t="shared" si="54"/>
        <v>0</v>
      </c>
      <c r="AC328" s="1499">
        <f t="shared" si="54"/>
        <v>0</v>
      </c>
      <c r="AD328" s="1499">
        <f t="shared" si="54"/>
        <v>0</v>
      </c>
      <c r="AK328" s="1448"/>
      <c r="AL328" s="1449"/>
      <c r="AM328" s="1449"/>
      <c r="AN328" s="1450"/>
      <c r="AO328" s="1450"/>
      <c r="AP328" s="1451"/>
      <c r="AQ328" s="1452"/>
      <c r="AR328" s="1453"/>
      <c r="AS328" s="1453"/>
      <c r="AT328" s="1451"/>
    </row>
    <row r="329" spans="1:46" ht="11.25">
      <c r="B329" s="1497"/>
      <c r="C329" s="1416"/>
      <c r="D329" s="1416"/>
      <c r="E329" s="1416"/>
      <c r="F329" s="1416"/>
      <c r="G329" s="1416"/>
      <c r="H329" s="1416"/>
      <c r="I329" s="1416"/>
      <c r="J329" s="1416"/>
      <c r="K329" s="1499"/>
      <c r="L329" s="1499"/>
      <c r="M329" s="1395"/>
      <c r="N329" s="1499"/>
      <c r="O329" s="1499"/>
      <c r="P329" s="1499"/>
      <c r="Q329" s="1499"/>
      <c r="R329" s="1499"/>
      <c r="V329" s="1366"/>
      <c r="W329" s="1368"/>
      <c r="X329" s="1366"/>
      <c r="Y329" s="1366"/>
      <c r="AB329" s="1422"/>
      <c r="AC329" s="1422"/>
      <c r="AK329" s="1448"/>
      <c r="AL329" s="1449"/>
      <c r="AM329" s="1449"/>
      <c r="AN329" s="1450"/>
      <c r="AO329" s="1450"/>
      <c r="AP329" s="1451"/>
      <c r="AQ329" s="1452"/>
      <c r="AR329" s="1453"/>
      <c r="AS329" s="1453"/>
      <c r="AT329" s="1451"/>
    </row>
    <row r="330" spans="1:46" ht="11.25">
      <c r="AB330" s="1422"/>
      <c r="AC330" s="1422"/>
      <c r="AK330" s="1448"/>
      <c r="AL330" s="1449"/>
      <c r="AM330" s="1449"/>
      <c r="AN330" s="1450"/>
      <c r="AO330" s="1450"/>
      <c r="AP330" s="1451"/>
      <c r="AQ330" s="1452"/>
      <c r="AR330" s="1453"/>
      <c r="AS330" s="1453"/>
      <c r="AT330" s="1451"/>
    </row>
    <row r="331" spans="1:46" ht="11.25">
      <c r="AB331" s="1422"/>
      <c r="AC331" s="1422"/>
      <c r="AK331" s="1448"/>
      <c r="AL331" s="1449"/>
      <c r="AM331" s="1449"/>
      <c r="AN331" s="1450"/>
      <c r="AO331" s="1450"/>
      <c r="AP331" s="1451"/>
      <c r="AQ331" s="1452"/>
      <c r="AR331" s="1453"/>
      <c r="AS331" s="1453"/>
      <c r="AT331" s="1451"/>
    </row>
    <row r="332" spans="1:46" ht="11.25">
      <c r="A332" s="1971" t="s">
        <v>569</v>
      </c>
      <c r="B332" s="1972"/>
      <c r="C332" s="1972"/>
      <c r="D332" s="1972"/>
      <c r="E332" s="1972"/>
      <c r="F332" s="1972"/>
      <c r="G332" s="1972"/>
      <c r="H332" s="1972"/>
      <c r="I332" s="1972"/>
      <c r="J332" s="1972"/>
      <c r="K332" s="1972"/>
      <c r="L332" s="1972"/>
      <c r="M332" s="1972"/>
      <c r="N332" s="1972"/>
      <c r="O332" s="1973"/>
      <c r="P332" s="1417"/>
      <c r="Q332" s="1418"/>
      <c r="R332" s="1419"/>
      <c r="S332" s="1420"/>
      <c r="T332" s="1421"/>
      <c r="U332" s="1419"/>
      <c r="V332" s="1375"/>
      <c r="W332" s="1376"/>
      <c r="X332" s="1376"/>
      <c r="Y332" s="1377"/>
      <c r="AB332" s="1422"/>
      <c r="AC332" s="1422"/>
      <c r="AK332" s="1448"/>
      <c r="AL332" s="1449"/>
      <c r="AM332" s="1449"/>
      <c r="AN332" s="1450"/>
      <c r="AO332" s="1450"/>
      <c r="AP332" s="1451"/>
      <c r="AQ332" s="1452"/>
      <c r="AR332" s="1453"/>
      <c r="AS332" s="1453"/>
      <c r="AT332" s="1451"/>
    </row>
    <row r="333" spans="1:46" ht="11.25">
      <c r="A333" s="1424"/>
      <c r="B333" s="1425"/>
      <c r="C333" s="1426" t="s">
        <v>256</v>
      </c>
      <c r="D333" s="1426" t="s">
        <v>257</v>
      </c>
      <c r="E333" s="1427" t="s">
        <v>258</v>
      </c>
      <c r="F333" s="1427" t="s">
        <v>259</v>
      </c>
      <c r="G333" s="1427" t="s">
        <v>260</v>
      </c>
      <c r="H333" s="1427" t="s">
        <v>261</v>
      </c>
      <c r="I333" s="1427" t="s">
        <v>262</v>
      </c>
      <c r="J333" s="1427" t="s">
        <v>263</v>
      </c>
      <c r="K333" s="1974" t="s">
        <v>264</v>
      </c>
      <c r="L333" s="1975"/>
      <c r="M333" s="1975"/>
      <c r="N333" s="1975" t="s">
        <v>265</v>
      </c>
      <c r="O333" s="1976"/>
      <c r="P333" s="1475"/>
      <c r="Q333" s="1476"/>
      <c r="R333" s="1430" t="s">
        <v>266</v>
      </c>
      <c r="S333" s="1430" t="s">
        <v>267</v>
      </c>
      <c r="T333" s="1430"/>
      <c r="U333" s="1430"/>
      <c r="V333" s="1977" t="s">
        <v>268</v>
      </c>
      <c r="W333" s="1978"/>
      <c r="X333" s="1978"/>
      <c r="Y333" s="1979"/>
      <c r="AB333" s="1422"/>
      <c r="AC333" s="1422"/>
      <c r="AK333" s="1448"/>
      <c r="AL333" s="1449"/>
      <c r="AM333" s="1449"/>
      <c r="AN333" s="1450"/>
      <c r="AO333" s="1450"/>
      <c r="AP333" s="1451"/>
      <c r="AQ333" s="1452"/>
      <c r="AR333" s="1453"/>
      <c r="AS333" s="1453"/>
      <c r="AT333" s="1451"/>
    </row>
    <row r="334" spans="1:46" ht="13.5" customHeight="1">
      <c r="A334" s="1436" t="s">
        <v>269</v>
      </c>
      <c r="B334" s="1430" t="s">
        <v>270</v>
      </c>
      <c r="C334" s="1436" t="s">
        <v>271</v>
      </c>
      <c r="D334" s="1436"/>
      <c r="E334" s="1436"/>
      <c r="F334" s="1436"/>
      <c r="G334" s="1436"/>
      <c r="H334" s="1436"/>
      <c r="I334" s="1436"/>
      <c r="J334" s="1436"/>
      <c r="K334" s="1436" t="s">
        <v>272</v>
      </c>
      <c r="L334" s="1429" t="s">
        <v>273</v>
      </c>
      <c r="M334" s="1430" t="s">
        <v>274</v>
      </c>
      <c r="N334" s="1430" t="s">
        <v>275</v>
      </c>
      <c r="O334" s="1430" t="s">
        <v>276</v>
      </c>
      <c r="P334" s="1437" t="s">
        <v>277</v>
      </c>
      <c r="Q334" s="1437" t="s">
        <v>278</v>
      </c>
      <c r="R334" s="1438" t="s">
        <v>279</v>
      </c>
      <c r="S334" s="1471" t="s">
        <v>280</v>
      </c>
      <c r="T334" s="1471" t="s">
        <v>281</v>
      </c>
      <c r="U334" s="1471" t="s">
        <v>282</v>
      </c>
      <c r="V334" s="1378" t="s">
        <v>283</v>
      </c>
      <c r="W334" s="1378" t="s">
        <v>284</v>
      </c>
      <c r="X334" s="1378" t="s">
        <v>285</v>
      </c>
      <c r="Y334" s="1378" t="s">
        <v>286</v>
      </c>
      <c r="AB334" s="1422"/>
      <c r="AC334" s="1422"/>
      <c r="AK334" s="1448"/>
      <c r="AL334" s="1449"/>
      <c r="AM334" s="1449"/>
      <c r="AN334" s="1450"/>
      <c r="AO334" s="1450"/>
      <c r="AP334" s="1451"/>
      <c r="AQ334" s="1452"/>
      <c r="AR334" s="1453"/>
      <c r="AS334" s="1453"/>
      <c r="AT334" s="1451"/>
    </row>
    <row r="335" spans="1:46" s="1416" customFormat="1" ht="13.5" customHeight="1">
      <c r="A335" s="1470"/>
      <c r="B335" s="1471"/>
      <c r="C335" s="1439"/>
      <c r="D335" s="1439"/>
      <c r="E335" s="1439"/>
      <c r="F335" s="1456">
        <v>38134</v>
      </c>
      <c r="G335" s="1439">
        <v>199</v>
      </c>
      <c r="H335" s="1439" t="s">
        <v>313</v>
      </c>
      <c r="I335" s="1439">
        <v>57</v>
      </c>
      <c r="J335" s="1439" t="s">
        <v>569</v>
      </c>
      <c r="K335" s="1442" t="s">
        <v>569</v>
      </c>
      <c r="L335" s="1442">
        <v>70279</v>
      </c>
      <c r="M335" s="1455"/>
      <c r="N335" s="1455"/>
      <c r="O335" s="1443"/>
      <c r="P335" s="1442">
        <v>3437841.6</v>
      </c>
      <c r="Q335" s="1442">
        <v>107432.55</v>
      </c>
      <c r="R335" s="1358">
        <v>9200000</v>
      </c>
      <c r="S335" s="1444">
        <f>+P335/Q335</f>
        <v>32</v>
      </c>
      <c r="T335" s="1445" t="s">
        <v>335</v>
      </c>
      <c r="U335" s="1446">
        <v>38411</v>
      </c>
      <c r="V335" s="1358"/>
      <c r="W335" s="1358"/>
      <c r="X335" s="1358"/>
      <c r="Y335" s="1358"/>
      <c r="Z335" s="1416" t="s">
        <v>292</v>
      </c>
      <c r="AB335" s="1474" t="s">
        <v>439</v>
      </c>
      <c r="AC335" s="1474"/>
      <c r="AK335" s="1448"/>
      <c r="AL335" s="1449"/>
      <c r="AM335" s="1449"/>
      <c r="AN335" s="1450"/>
      <c r="AO335" s="1450"/>
      <c r="AP335" s="1451"/>
      <c r="AQ335" s="1452"/>
      <c r="AR335" s="1453"/>
      <c r="AS335" s="1453"/>
      <c r="AT335" s="1451"/>
    </row>
    <row r="336" spans="1:46" ht="13.5" customHeight="1">
      <c r="A336" s="1458"/>
      <c r="B336" s="1459"/>
      <c r="C336" s="1508" t="s">
        <v>569</v>
      </c>
      <c r="D336" s="1508"/>
      <c r="E336" s="1508"/>
      <c r="F336" s="1508"/>
      <c r="G336" s="1508"/>
      <c r="H336" s="1508"/>
      <c r="I336" s="1508"/>
      <c r="J336" s="1508"/>
      <c r="K336" s="1472" t="s">
        <v>98</v>
      </c>
      <c r="L336" s="1469">
        <f t="shared" ref="L336:R336" si="55">SUM(L335:L335)</f>
        <v>70279</v>
      </c>
      <c r="M336" s="1469">
        <f t="shared" si="55"/>
        <v>0</v>
      </c>
      <c r="N336" s="1469">
        <f t="shared" si="55"/>
        <v>0</v>
      </c>
      <c r="O336" s="1469">
        <f t="shared" si="55"/>
        <v>0</v>
      </c>
      <c r="P336" s="1469">
        <f t="shared" si="55"/>
        <v>3437841.6</v>
      </c>
      <c r="Q336" s="1469">
        <f t="shared" si="55"/>
        <v>107432.55</v>
      </c>
      <c r="R336" s="1469">
        <f t="shared" si="55"/>
        <v>9200000</v>
      </c>
      <c r="S336" s="1439"/>
      <c r="T336" s="1439"/>
      <c r="U336" s="1439"/>
      <c r="V336" s="1371">
        <f>SUM(V335)</f>
        <v>0</v>
      </c>
      <c r="W336" s="1371">
        <f>SUM(W335)</f>
        <v>0</v>
      </c>
      <c r="X336" s="1371">
        <f>SUM(X335)</f>
        <v>0</v>
      </c>
      <c r="Y336" s="1371">
        <f>SUM(Y335)</f>
        <v>0</v>
      </c>
      <c r="AB336" s="1422"/>
      <c r="AC336" s="1422"/>
      <c r="AK336" s="1448"/>
      <c r="AL336" s="1449"/>
      <c r="AM336" s="1449"/>
      <c r="AN336" s="1450"/>
      <c r="AO336" s="1450"/>
      <c r="AP336" s="1451"/>
      <c r="AQ336" s="1452"/>
      <c r="AR336" s="1453"/>
      <c r="AS336" s="1453"/>
      <c r="AT336" s="1451"/>
    </row>
    <row r="337" spans="1:46" s="1416" customFormat="1" ht="10.5" customHeight="1">
      <c r="K337" s="1468" t="s">
        <v>365</v>
      </c>
      <c r="L337" s="1499">
        <f>L336</f>
        <v>70279</v>
      </c>
      <c r="M337" s="1499">
        <f t="shared" ref="M337:Y337" si="56">M336</f>
        <v>0</v>
      </c>
      <c r="N337" s="1499">
        <f t="shared" si="56"/>
        <v>0</v>
      </c>
      <c r="O337" s="1499">
        <f t="shared" si="56"/>
        <v>0</v>
      </c>
      <c r="P337" s="1499"/>
      <c r="Q337" s="1499"/>
      <c r="R337" s="1499"/>
      <c r="S337" s="1499">
        <f t="shared" si="56"/>
        <v>0</v>
      </c>
      <c r="T337" s="1499">
        <f t="shared" si="56"/>
        <v>0</v>
      </c>
      <c r="U337" s="1499">
        <f t="shared" si="56"/>
        <v>0</v>
      </c>
      <c r="V337" s="1499">
        <f t="shared" si="56"/>
        <v>0</v>
      </c>
      <c r="W337" s="1499">
        <f t="shared" si="56"/>
        <v>0</v>
      </c>
      <c r="X337" s="1499">
        <f t="shared" si="56"/>
        <v>0</v>
      </c>
      <c r="Y337" s="1499">
        <f t="shared" si="56"/>
        <v>0</v>
      </c>
      <c r="AB337" s="1474"/>
      <c r="AC337" s="1474"/>
      <c r="AK337" s="1448"/>
      <c r="AL337" s="1449"/>
      <c r="AM337" s="1449"/>
      <c r="AN337" s="1450"/>
      <c r="AO337" s="1450"/>
      <c r="AP337" s="1451"/>
      <c r="AQ337" s="1452"/>
      <c r="AR337" s="1453"/>
      <c r="AS337" s="1453"/>
      <c r="AT337" s="1451"/>
    </row>
    <row r="338" spans="1:46" s="1416" customFormat="1" ht="10.5" customHeight="1">
      <c r="K338" s="1468"/>
      <c r="L338" s="1499"/>
      <c r="M338" s="1499"/>
      <c r="N338" s="1499"/>
      <c r="O338" s="1499"/>
      <c r="P338" s="1499"/>
      <c r="Q338" s="1499"/>
      <c r="R338" s="1499"/>
      <c r="S338" s="1499"/>
      <c r="T338" s="1499"/>
      <c r="U338" s="1499"/>
      <c r="V338" s="1499"/>
      <c r="W338" s="1499"/>
      <c r="X338" s="1499"/>
      <c r="Y338" s="1499"/>
      <c r="AB338" s="1474"/>
      <c r="AC338" s="1474"/>
      <c r="AK338" s="1448"/>
      <c r="AL338" s="1449"/>
      <c r="AM338" s="1449"/>
      <c r="AN338" s="1450"/>
      <c r="AO338" s="1450"/>
      <c r="AP338" s="1451"/>
      <c r="AQ338" s="1452"/>
      <c r="AR338" s="1453"/>
      <c r="AS338" s="1453"/>
      <c r="AT338" s="1451"/>
    </row>
    <row r="339" spans="1:46" s="1416" customFormat="1" ht="10.5" customHeight="1">
      <c r="K339" s="1468"/>
      <c r="L339" s="1499"/>
      <c r="M339" s="1499"/>
      <c r="N339" s="1499"/>
      <c r="O339" s="1499"/>
      <c r="P339" s="1499"/>
      <c r="Q339" s="1499"/>
      <c r="R339" s="1499"/>
      <c r="S339" s="1499"/>
      <c r="T339" s="1499"/>
      <c r="U339" s="1499"/>
      <c r="V339" s="1499"/>
      <c r="W339" s="1499"/>
      <c r="X339" s="1499"/>
      <c r="Y339" s="1499"/>
      <c r="AB339" s="1474"/>
      <c r="AC339" s="1474"/>
      <c r="AK339" s="1448"/>
      <c r="AL339" s="1449"/>
      <c r="AM339" s="1449"/>
      <c r="AN339" s="1450"/>
      <c r="AO339" s="1450"/>
      <c r="AP339" s="1451"/>
      <c r="AQ339" s="1452"/>
      <c r="AR339" s="1453"/>
      <c r="AS339" s="1453"/>
      <c r="AT339" s="1451"/>
    </row>
    <row r="340" spans="1:46" s="1416" customFormat="1" ht="10.5" customHeight="1">
      <c r="K340" s="1468"/>
      <c r="L340" s="1499"/>
      <c r="M340" s="1499"/>
      <c r="N340" s="1499"/>
      <c r="O340" s="1499"/>
      <c r="P340" s="1499"/>
      <c r="Q340" s="1499"/>
      <c r="R340" s="1499"/>
      <c r="S340" s="1499"/>
      <c r="T340" s="1499"/>
      <c r="U340" s="1499"/>
      <c r="V340" s="1499"/>
      <c r="W340" s="1499"/>
      <c r="X340" s="1499"/>
      <c r="Y340" s="1499"/>
      <c r="AB340" s="1474"/>
      <c r="AC340" s="1474"/>
      <c r="AK340" s="1448"/>
      <c r="AL340" s="1449"/>
      <c r="AM340" s="1449"/>
      <c r="AN340" s="1450"/>
      <c r="AO340" s="1450"/>
      <c r="AP340" s="1451"/>
      <c r="AQ340" s="1452"/>
      <c r="AR340" s="1453"/>
      <c r="AS340" s="1453"/>
      <c r="AT340" s="1451"/>
    </row>
    <row r="341" spans="1:46" s="1416" customFormat="1" ht="10.5" customHeight="1">
      <c r="A341" s="1971" t="s">
        <v>570</v>
      </c>
      <c r="B341" s="1972"/>
      <c r="C341" s="1972"/>
      <c r="D341" s="1972"/>
      <c r="E341" s="1972"/>
      <c r="F341" s="1972"/>
      <c r="G341" s="1972"/>
      <c r="H341" s="1972"/>
      <c r="I341" s="1972"/>
      <c r="J341" s="1972"/>
      <c r="K341" s="1972"/>
      <c r="L341" s="1972"/>
      <c r="M341" s="1972"/>
      <c r="N341" s="1972"/>
      <c r="O341" s="1973"/>
      <c r="P341" s="1417"/>
      <c r="Q341" s="1418"/>
      <c r="R341" s="1419"/>
      <c r="S341" s="1420"/>
      <c r="T341" s="1421"/>
      <c r="U341" s="1419"/>
      <c r="V341" s="1375"/>
      <c r="W341" s="1376"/>
      <c r="X341" s="1376"/>
      <c r="Y341" s="1377"/>
      <c r="AB341" s="1474"/>
      <c r="AC341" s="1474"/>
      <c r="AG341" s="1416" t="s">
        <v>287</v>
      </c>
      <c r="AH341" s="1416" t="s">
        <v>280</v>
      </c>
      <c r="AK341" s="1448"/>
      <c r="AL341" s="1449"/>
      <c r="AM341" s="1449"/>
      <c r="AN341" s="1450"/>
      <c r="AO341" s="1450"/>
      <c r="AP341" s="1451"/>
      <c r="AQ341" s="1452"/>
      <c r="AR341" s="1453"/>
      <c r="AS341" s="1453"/>
      <c r="AT341" s="1451"/>
    </row>
    <row r="342" spans="1:46" s="1416" customFormat="1" ht="10.5" customHeight="1">
      <c r="A342" s="1424"/>
      <c r="B342" s="1425"/>
      <c r="C342" s="1426" t="s">
        <v>256</v>
      </c>
      <c r="D342" s="1426" t="s">
        <v>257</v>
      </c>
      <c r="E342" s="1427" t="s">
        <v>258</v>
      </c>
      <c r="F342" s="1427" t="s">
        <v>259</v>
      </c>
      <c r="G342" s="1427" t="s">
        <v>260</v>
      </c>
      <c r="H342" s="1427" t="s">
        <v>261</v>
      </c>
      <c r="I342" s="1427" t="s">
        <v>262</v>
      </c>
      <c r="J342" s="1427" t="s">
        <v>263</v>
      </c>
      <c r="K342" s="1974" t="s">
        <v>264</v>
      </c>
      <c r="L342" s="1975"/>
      <c r="M342" s="1975"/>
      <c r="N342" s="1975" t="s">
        <v>265</v>
      </c>
      <c r="O342" s="1976"/>
      <c r="P342" s="1475"/>
      <c r="Q342" s="1476"/>
      <c r="R342" s="1430" t="s">
        <v>266</v>
      </c>
      <c r="S342" s="1430" t="s">
        <v>267</v>
      </c>
      <c r="T342" s="1430"/>
      <c r="U342" s="1430"/>
      <c r="V342" s="1977" t="s">
        <v>268</v>
      </c>
      <c r="W342" s="1978"/>
      <c r="X342" s="1978"/>
      <c r="Y342" s="1979"/>
      <c r="AB342" s="1474"/>
      <c r="AC342" s="1474"/>
      <c r="AG342" s="1499">
        <v>104578</v>
      </c>
      <c r="AH342" s="1499">
        <f>SUM(O344:O353)</f>
        <v>4179346.9899999998</v>
      </c>
      <c r="AK342" s="1448"/>
      <c r="AL342" s="1449"/>
      <c r="AM342" s="1449"/>
      <c r="AN342" s="1450"/>
      <c r="AO342" s="1450"/>
      <c r="AP342" s="1451"/>
      <c r="AQ342" s="1452"/>
      <c r="AR342" s="1453"/>
      <c r="AS342" s="1453"/>
      <c r="AT342" s="1451"/>
    </row>
    <row r="343" spans="1:46" s="1416" customFormat="1" ht="10.5" customHeight="1">
      <c r="A343" s="1436" t="s">
        <v>269</v>
      </c>
      <c r="B343" s="1430" t="s">
        <v>270</v>
      </c>
      <c r="C343" s="1436" t="s">
        <v>271</v>
      </c>
      <c r="D343" s="1436"/>
      <c r="E343" s="1436"/>
      <c r="F343" s="1436"/>
      <c r="G343" s="1436"/>
      <c r="H343" s="1436"/>
      <c r="I343" s="1436"/>
      <c r="J343" s="1436"/>
      <c r="K343" s="1436" t="s">
        <v>272</v>
      </c>
      <c r="L343" s="1429" t="s">
        <v>273</v>
      </c>
      <c r="M343" s="1430" t="s">
        <v>274</v>
      </c>
      <c r="N343" s="1430" t="s">
        <v>275</v>
      </c>
      <c r="O343" s="1430" t="s">
        <v>276</v>
      </c>
      <c r="P343" s="1437" t="s">
        <v>277</v>
      </c>
      <c r="Q343" s="1437" t="s">
        <v>278</v>
      </c>
      <c r="R343" s="1438" t="s">
        <v>279</v>
      </c>
      <c r="S343" s="1471" t="s">
        <v>280</v>
      </c>
      <c r="T343" s="1471" t="s">
        <v>281</v>
      </c>
      <c r="U343" s="1471" t="s">
        <v>282</v>
      </c>
      <c r="V343" s="1378" t="s">
        <v>283</v>
      </c>
      <c r="W343" s="1378" t="s">
        <v>284</v>
      </c>
      <c r="X343" s="1378" t="s">
        <v>285</v>
      </c>
      <c r="Y343" s="1378" t="s">
        <v>286</v>
      </c>
      <c r="AB343" s="1474"/>
      <c r="AC343" s="1474"/>
      <c r="AH343" s="1548">
        <v>1</v>
      </c>
      <c r="AK343" s="1448"/>
      <c r="AL343" s="1449"/>
      <c r="AM343" s="1449"/>
      <c r="AN343" s="1450"/>
      <c r="AO343" s="1450"/>
      <c r="AP343" s="1451"/>
      <c r="AQ343" s="1452"/>
      <c r="AR343" s="1453"/>
      <c r="AS343" s="1453"/>
      <c r="AT343" s="1451"/>
    </row>
    <row r="344" spans="1:46" ht="10.5" customHeight="1">
      <c r="A344" s="1523">
        <v>2</v>
      </c>
      <c r="B344" s="1525" t="s">
        <v>571</v>
      </c>
      <c r="C344" s="1523" t="s">
        <v>572</v>
      </c>
      <c r="D344" s="1523"/>
      <c r="E344" s="1533"/>
      <c r="F344" s="1533"/>
      <c r="G344" s="1523"/>
      <c r="H344" s="1523"/>
      <c r="I344" s="1523"/>
      <c r="J344" s="1523"/>
      <c r="K344" s="1523" t="s">
        <v>573</v>
      </c>
      <c r="L344" s="1428">
        <v>10000</v>
      </c>
      <c r="M344" s="1525"/>
      <c r="N344" s="1439"/>
      <c r="O344" s="1428">
        <v>10000</v>
      </c>
      <c r="P344" s="1522"/>
      <c r="Q344" s="1522"/>
      <c r="R344" s="1459"/>
      <c r="S344" s="1440"/>
      <c r="T344" s="1440"/>
      <c r="U344" s="1440"/>
      <c r="V344" s="1372"/>
      <c r="W344" s="1372">
        <f>1610000+30.2+399070-1127000+23955.73+2145.08+1133.6-2145.08-1133.6+258.57</f>
        <v>906314.49999999988</v>
      </c>
      <c r="X344" s="1372"/>
      <c r="Y344" s="1439"/>
      <c r="AB344" s="1422"/>
      <c r="AC344" s="1422"/>
      <c r="AG344" s="1519">
        <f>O344*$AH$343/$AH$342</f>
        <v>2.3927182940127211E-3</v>
      </c>
      <c r="AH344" s="1423">
        <f>$AG$342*AG344</f>
        <v>250.22569375126236</v>
      </c>
      <c r="AJ344" s="1423"/>
      <c r="AK344" s="1448" t="s">
        <v>6128</v>
      </c>
      <c r="AL344" s="1449" t="s">
        <v>5563</v>
      </c>
      <c r="AM344" s="1449">
        <v>54</v>
      </c>
      <c r="AN344" s="1450" t="s">
        <v>573</v>
      </c>
      <c r="AO344" s="1450" t="s">
        <v>573</v>
      </c>
      <c r="AP344" s="1451" t="s">
        <v>5393</v>
      </c>
      <c r="AQ344" s="1452">
        <v>10000</v>
      </c>
      <c r="AR344" s="1453" t="s">
        <v>5564</v>
      </c>
      <c r="AS344" s="1453" t="s">
        <v>5565</v>
      </c>
      <c r="AT344" s="1453" t="s">
        <v>5381</v>
      </c>
    </row>
    <row r="345" spans="1:46" ht="10.5" customHeight="1">
      <c r="A345" s="1523"/>
      <c r="B345" s="1525"/>
      <c r="C345" s="1523" t="s">
        <v>574</v>
      </c>
      <c r="D345" s="1523"/>
      <c r="E345" s="1533"/>
      <c r="F345" s="1533"/>
      <c r="G345" s="1523"/>
      <c r="H345" s="1523"/>
      <c r="I345" s="1523"/>
      <c r="J345" s="1523"/>
      <c r="K345" s="1523"/>
      <c r="L345" s="1428">
        <v>1700000</v>
      </c>
      <c r="M345" s="1525"/>
      <c r="N345" s="1439"/>
      <c r="O345" s="1428">
        <v>1700000</v>
      </c>
      <c r="P345" s="1522"/>
      <c r="Q345" s="1522"/>
      <c r="R345" s="1459"/>
      <c r="S345" s="1440"/>
      <c r="T345" s="1440"/>
      <c r="U345" s="1440"/>
      <c r="V345" s="1372"/>
      <c r="W345" s="1372">
        <f>354140+96428+5133.9+364663.89+192711.39-364663.9-192711.39+43956.28</f>
        <v>499658.17000000004</v>
      </c>
      <c r="X345" s="1372"/>
      <c r="Y345" s="1439"/>
      <c r="AB345" s="1422"/>
      <c r="AC345" s="1422"/>
      <c r="AG345" s="1519">
        <f t="shared" ref="AG345:AG352" si="57">O345*$AH$343/$AH$342</f>
        <v>0.40676210998216256</v>
      </c>
      <c r="AH345" s="1423">
        <f t="shared" ref="AH345:AH352" si="58">$AG$342*AG345</f>
        <v>42538.367937714596</v>
      </c>
      <c r="AJ345" s="1423"/>
      <c r="AK345" s="1448" t="s">
        <v>6129</v>
      </c>
      <c r="AL345" s="1449" t="s">
        <v>376</v>
      </c>
      <c r="AM345" s="1449" t="s">
        <v>376</v>
      </c>
      <c r="AN345" s="1453" t="s">
        <v>573</v>
      </c>
      <c r="AO345" s="1453" t="s">
        <v>573</v>
      </c>
      <c r="AP345" s="1451" t="s">
        <v>5393</v>
      </c>
      <c r="AQ345" s="1452">
        <v>1700000</v>
      </c>
      <c r="AR345" s="1453" t="s">
        <v>5566</v>
      </c>
      <c r="AS345" s="1453" t="s">
        <v>5567</v>
      </c>
      <c r="AT345" s="1453" t="s">
        <v>5381</v>
      </c>
    </row>
    <row r="346" spans="1:46" ht="10.5" customHeight="1">
      <c r="A346" s="1523" t="s">
        <v>575</v>
      </c>
      <c r="B346" s="1525"/>
      <c r="C346" s="1523" t="s">
        <v>576</v>
      </c>
      <c r="D346" s="1475">
        <v>19121.2</v>
      </c>
      <c r="E346" s="1533">
        <v>38835</v>
      </c>
      <c r="F346" s="1533">
        <v>38878</v>
      </c>
      <c r="G346" s="1523"/>
      <c r="H346" s="1523"/>
      <c r="I346" s="1523"/>
      <c r="J346" s="1523" t="s">
        <v>577</v>
      </c>
      <c r="K346" s="1523" t="s">
        <v>578</v>
      </c>
      <c r="L346" s="1428">
        <v>1702595.17</v>
      </c>
      <c r="M346" s="1525"/>
      <c r="N346" s="1439"/>
      <c r="O346" s="1428">
        <v>1702595.17</v>
      </c>
      <c r="P346" s="1522"/>
      <c r="Q346" s="1522"/>
      <c r="R346" s="1459"/>
      <c r="S346" s="1440"/>
      <c r="T346" s="1440"/>
      <c r="U346" s="1440"/>
      <c r="V346" s="1372"/>
      <c r="W346" s="1372">
        <f>19121.2+5141.74+23955.71+363223+365220.57+193005.58-365220.57-193005.58+44023.38</f>
        <v>455465.03</v>
      </c>
      <c r="X346" s="1372"/>
      <c r="Y346" s="1439"/>
      <c r="AB346" s="1422"/>
      <c r="AC346" s="1422"/>
      <c r="AG346" s="1519">
        <f t="shared" si="57"/>
        <v>0.40738306105566985</v>
      </c>
      <c r="AH346" s="1423">
        <f t="shared" si="58"/>
        <v>42603.305759079842</v>
      </c>
      <c r="AJ346" s="1423"/>
      <c r="AK346" s="1448" t="s">
        <v>6130</v>
      </c>
      <c r="AL346" s="1449" t="s">
        <v>376</v>
      </c>
      <c r="AM346" s="1449" t="s">
        <v>376</v>
      </c>
      <c r="AN346" s="1453" t="s">
        <v>573</v>
      </c>
      <c r="AO346" s="1453" t="s">
        <v>573</v>
      </c>
      <c r="AP346" s="1451" t="s">
        <v>5520</v>
      </c>
      <c r="AQ346" s="1509">
        <v>1702595.17</v>
      </c>
      <c r="AR346" s="1453" t="s">
        <v>5566</v>
      </c>
      <c r="AS346" s="1451" t="s">
        <v>5568</v>
      </c>
      <c r="AT346" s="1453" t="s">
        <v>5381</v>
      </c>
    </row>
    <row r="347" spans="1:46" ht="10.5" customHeight="1">
      <c r="A347" s="1523"/>
      <c r="B347" s="1525"/>
      <c r="C347" s="1523" t="s">
        <v>579</v>
      </c>
      <c r="D347" s="1523"/>
      <c r="E347" s="1533"/>
      <c r="F347" s="1533"/>
      <c r="G347" s="1523"/>
      <c r="H347" s="1523"/>
      <c r="I347" s="1523"/>
      <c r="J347" s="1523"/>
      <c r="K347" s="1523"/>
      <c r="L347" s="1428"/>
      <c r="M347" s="1525"/>
      <c r="N347" s="1439"/>
      <c r="O347" s="1428">
        <v>200000</v>
      </c>
      <c r="P347" s="1522"/>
      <c r="Q347" s="1522"/>
      <c r="R347" s="1459"/>
      <c r="S347" s="1440"/>
      <c r="T347" s="1440"/>
      <c r="U347" s="1440"/>
      <c r="V347" s="1372"/>
      <c r="W347" s="1372">
        <f>11296+124800+42901.63+22671.93-42901.63-22671.93+5171.33</f>
        <v>141267.32999999999</v>
      </c>
      <c r="X347" s="1372"/>
      <c r="Y347" s="1439"/>
      <c r="AB347" s="1422"/>
      <c r="AC347" s="1422"/>
      <c r="AG347" s="1519">
        <f t="shared" si="57"/>
        <v>4.7854365880254421E-2</v>
      </c>
      <c r="AH347" s="1423">
        <f t="shared" si="58"/>
        <v>5004.5138750252472</v>
      </c>
      <c r="AJ347" s="1423"/>
      <c r="AK347" s="1448" t="s">
        <v>6131</v>
      </c>
      <c r="AL347" s="1449" t="s">
        <v>376</v>
      </c>
      <c r="AM347" s="1449" t="s">
        <v>376</v>
      </c>
      <c r="AN347" s="1453" t="s">
        <v>573</v>
      </c>
      <c r="AO347" s="1453" t="s">
        <v>573</v>
      </c>
      <c r="AP347" s="1451" t="s">
        <v>5520</v>
      </c>
      <c r="AQ347" s="1452">
        <v>200000</v>
      </c>
      <c r="AR347" s="1453" t="s">
        <v>5566</v>
      </c>
      <c r="AS347" s="1451" t="s">
        <v>5568</v>
      </c>
      <c r="AT347" s="1453" t="s">
        <v>5381</v>
      </c>
    </row>
    <row r="348" spans="1:46" ht="10.5" customHeight="1">
      <c r="A348" s="1523"/>
      <c r="B348" s="1525"/>
      <c r="C348" s="1523" t="s">
        <v>580</v>
      </c>
      <c r="D348" s="1523"/>
      <c r="E348" s="1533">
        <v>38954</v>
      </c>
      <c r="F348" s="1533">
        <v>39083</v>
      </c>
      <c r="G348" s="1523">
        <v>738</v>
      </c>
      <c r="H348" s="1523" t="s">
        <v>581</v>
      </c>
      <c r="I348" s="1523">
        <v>40</v>
      </c>
      <c r="J348" s="1523" t="s">
        <v>577</v>
      </c>
      <c r="K348" s="1523" t="s">
        <v>578</v>
      </c>
      <c r="L348" s="1428"/>
      <c r="M348" s="1525"/>
      <c r="N348" s="1439"/>
      <c r="O348" s="1428">
        <v>150000</v>
      </c>
      <c r="P348" s="1522"/>
      <c r="Q348" s="1522"/>
      <c r="R348" s="1459"/>
      <c r="S348" s="1440"/>
      <c r="T348" s="1440"/>
      <c r="U348" s="1440"/>
      <c r="V348" s="1372"/>
      <c r="W348" s="1372">
        <f>2960000+32176.23+17003.95-32176.23-17003.95+3878.5</f>
        <v>2963878.5</v>
      </c>
      <c r="X348" s="1372"/>
      <c r="Y348" s="1439"/>
      <c r="AB348" s="1422"/>
      <c r="AC348" s="1422"/>
      <c r="AG348" s="1519">
        <f t="shared" si="57"/>
        <v>3.5890774410190812E-2</v>
      </c>
      <c r="AH348" s="1423">
        <f t="shared" si="58"/>
        <v>3753.3854062689347</v>
      </c>
      <c r="AJ348" s="1423"/>
      <c r="AK348" s="1448" t="s">
        <v>6132</v>
      </c>
      <c r="AL348" s="1449" t="s">
        <v>376</v>
      </c>
      <c r="AM348" s="1449" t="s">
        <v>376</v>
      </c>
      <c r="AN348" s="1453" t="s">
        <v>578</v>
      </c>
      <c r="AO348" s="1453" t="s">
        <v>578</v>
      </c>
      <c r="AP348" s="1451" t="s">
        <v>5520</v>
      </c>
      <c r="AQ348" s="1452">
        <v>150000</v>
      </c>
      <c r="AR348" s="1453" t="s">
        <v>5569</v>
      </c>
      <c r="AS348" s="1453" t="s">
        <v>5568</v>
      </c>
      <c r="AT348" s="1453" t="s">
        <v>5381</v>
      </c>
    </row>
    <row r="349" spans="1:46" ht="10.5" customHeight="1">
      <c r="A349" s="1523">
        <v>5</v>
      </c>
      <c r="B349" s="1525" t="s">
        <v>582</v>
      </c>
      <c r="C349" s="1523" t="s">
        <v>583</v>
      </c>
      <c r="D349" s="1475">
        <v>6000000.9000000004</v>
      </c>
      <c r="E349" s="1533">
        <v>39044</v>
      </c>
      <c r="F349" s="1533">
        <v>39083</v>
      </c>
      <c r="G349" s="1523">
        <v>653</v>
      </c>
      <c r="H349" s="1523" t="s">
        <v>584</v>
      </c>
      <c r="I349" s="1523">
        <v>92</v>
      </c>
      <c r="J349" s="1523" t="s">
        <v>577</v>
      </c>
      <c r="K349" s="1523" t="s">
        <v>578</v>
      </c>
      <c r="L349" s="1428"/>
      <c r="M349" s="1525"/>
      <c r="N349" s="1439"/>
      <c r="O349" s="1428">
        <v>200000</v>
      </c>
      <c r="P349" s="1522"/>
      <c r="Q349" s="1522"/>
      <c r="R349" s="1459"/>
      <c r="S349" s="1440"/>
      <c r="T349" s="1440"/>
      <c r="U349" s="1440"/>
      <c r="V349" s="1372"/>
      <c r="W349" s="1372">
        <f>6000000.9+42901.64+22671.93-42901.63-22671.92+5171.33</f>
        <v>6005172.25</v>
      </c>
      <c r="X349" s="1372"/>
      <c r="Y349" s="1439"/>
      <c r="AB349" s="1422"/>
      <c r="AC349" s="1422"/>
      <c r="AG349" s="1519">
        <f t="shared" si="57"/>
        <v>4.7854365880254421E-2</v>
      </c>
      <c r="AH349" s="1423">
        <f t="shared" si="58"/>
        <v>5004.5138750252472</v>
      </c>
      <c r="AJ349" s="1423"/>
      <c r="AK349" s="1448" t="s">
        <v>6133</v>
      </c>
      <c r="AL349" s="1449" t="s">
        <v>5475</v>
      </c>
      <c r="AM349" s="1511" t="s">
        <v>5570</v>
      </c>
      <c r="AN349" s="1453" t="s">
        <v>578</v>
      </c>
      <c r="AO349" s="1453" t="s">
        <v>578</v>
      </c>
      <c r="AP349" s="1451" t="s">
        <v>5393</v>
      </c>
      <c r="AQ349" s="1452">
        <v>200000</v>
      </c>
      <c r="AR349" s="1453" t="s">
        <v>5571</v>
      </c>
      <c r="AS349" s="1453" t="s">
        <v>5572</v>
      </c>
      <c r="AT349" s="1453" t="s">
        <v>5381</v>
      </c>
    </row>
    <row r="350" spans="1:46" ht="10.5" hidden="1" customHeight="1">
      <c r="A350" s="1523"/>
      <c r="B350" s="1525"/>
      <c r="C350" s="1523" t="s">
        <v>585</v>
      </c>
      <c r="D350" s="1475"/>
      <c r="E350" s="1533"/>
      <c r="F350" s="1533"/>
      <c r="G350" s="1523"/>
      <c r="H350" s="1523"/>
      <c r="I350" s="1523"/>
      <c r="J350" s="1523"/>
      <c r="K350" s="1523"/>
      <c r="L350" s="1428"/>
      <c r="M350" s="1525"/>
      <c r="N350" s="1441"/>
      <c r="O350" s="1428"/>
      <c r="P350" s="1522"/>
      <c r="Q350" s="1522"/>
      <c r="R350" s="1459"/>
      <c r="S350" s="1440"/>
      <c r="T350" s="1440"/>
      <c r="U350" s="1440"/>
      <c r="V350" s="1372"/>
      <c r="W350" s="1372"/>
      <c r="X350" s="1372"/>
      <c r="Y350" s="1439"/>
      <c r="AB350" s="1422"/>
      <c r="AC350" s="1422"/>
      <c r="AG350" s="1519">
        <f t="shared" si="57"/>
        <v>0</v>
      </c>
      <c r="AH350" s="1423">
        <f t="shared" si="58"/>
        <v>0</v>
      </c>
      <c r="AJ350" s="1423"/>
      <c r="AK350" s="1448"/>
      <c r="AL350" s="1449"/>
      <c r="AM350" s="1511"/>
      <c r="AN350" s="1453"/>
      <c r="AO350" s="1453"/>
      <c r="AP350" s="1451"/>
      <c r="AQ350" s="1452"/>
      <c r="AR350" s="1453"/>
      <c r="AS350" s="1453"/>
      <c r="AT350" s="1453"/>
    </row>
    <row r="351" spans="1:46" ht="10.5" customHeight="1">
      <c r="A351" s="1523"/>
      <c r="B351" s="1525"/>
      <c r="C351" s="1523" t="s">
        <v>586</v>
      </c>
      <c r="D351" s="1475">
        <v>403750</v>
      </c>
      <c r="E351" s="1533">
        <v>39401</v>
      </c>
      <c r="F351" s="1533">
        <v>39845</v>
      </c>
      <c r="G351" s="1523">
        <v>730</v>
      </c>
      <c r="H351" s="1523" t="s">
        <v>313</v>
      </c>
      <c r="I351" s="1523">
        <v>109</v>
      </c>
      <c r="J351" s="1523" t="s">
        <v>573</v>
      </c>
      <c r="K351" s="1523" t="s">
        <v>578</v>
      </c>
      <c r="L351" s="1428"/>
      <c r="M351" s="1525"/>
      <c r="N351" s="1439"/>
      <c r="O351" s="1428">
        <v>21937.5</v>
      </c>
      <c r="P351" s="1522"/>
      <c r="Q351" s="1522"/>
      <c r="R351" s="1459"/>
      <c r="S351" s="1440"/>
      <c r="T351" s="1440"/>
      <c r="U351" s="1440"/>
      <c r="V351" s="1372"/>
      <c r="W351" s="1372">
        <f>403750+34050.49+4705.77+2486.83-4705.77-2486.83+567.23</f>
        <v>438367.72</v>
      </c>
      <c r="X351" s="1372"/>
      <c r="Y351" s="1439"/>
      <c r="AB351" s="1422"/>
      <c r="AC351" s="1422"/>
      <c r="AG351" s="1519">
        <f t="shared" si="57"/>
        <v>5.2490257574904064E-3</v>
      </c>
      <c r="AH351" s="1423">
        <f t="shared" si="58"/>
        <v>548.93261566683168</v>
      </c>
      <c r="AJ351" s="1423"/>
      <c r="AK351" s="1448" t="s">
        <v>6134</v>
      </c>
      <c r="AL351" s="1449" t="s">
        <v>376</v>
      </c>
      <c r="AM351" s="1449" t="s">
        <v>376</v>
      </c>
      <c r="AN351" s="1453" t="s">
        <v>578</v>
      </c>
      <c r="AO351" s="1453" t="s">
        <v>578</v>
      </c>
      <c r="AP351" s="1451" t="s">
        <v>5393</v>
      </c>
      <c r="AQ351" s="1452">
        <v>21937.5</v>
      </c>
      <c r="AR351" s="1453" t="s">
        <v>5573</v>
      </c>
      <c r="AS351" s="1453" t="s">
        <v>5574</v>
      </c>
      <c r="AT351" s="1453" t="s">
        <v>5381</v>
      </c>
    </row>
    <row r="352" spans="1:46" ht="10.5" customHeight="1">
      <c r="A352" s="1523">
        <v>2</v>
      </c>
      <c r="B352" s="1525">
        <v>1</v>
      </c>
      <c r="C352" s="1523" t="s">
        <v>587</v>
      </c>
      <c r="D352" s="1475">
        <v>4800000</v>
      </c>
      <c r="E352" s="1533">
        <v>39965</v>
      </c>
      <c r="F352" s="1533"/>
      <c r="G352" s="1523"/>
      <c r="H352" s="1523"/>
      <c r="I352" s="1523"/>
      <c r="J352" s="1523" t="s">
        <v>573</v>
      </c>
      <c r="K352" s="1523" t="s">
        <v>578</v>
      </c>
      <c r="L352" s="1428"/>
      <c r="M352" s="1525"/>
      <c r="N352" s="1439"/>
      <c r="O352" s="1428">
        <v>60000</v>
      </c>
      <c r="P352" s="1522"/>
      <c r="Q352" s="1522"/>
      <c r="R352" s="1459"/>
      <c r="S352" s="1440"/>
      <c r="T352" s="1440"/>
      <c r="U352" s="1440"/>
      <c r="V352" s="1372"/>
      <c r="W352" s="1372">
        <f>4800000+12870.49+6801.58-12870.49-6801.58+1551.4</f>
        <v>4801551.4000000004</v>
      </c>
      <c r="X352" s="1372"/>
      <c r="Y352" s="1439"/>
      <c r="AB352" s="1422"/>
      <c r="AC352" s="1422"/>
      <c r="AG352" s="1519">
        <f t="shared" si="57"/>
        <v>1.4356309764076326E-2</v>
      </c>
      <c r="AH352" s="1423">
        <f t="shared" si="58"/>
        <v>1501.3541625075741</v>
      </c>
      <c r="AJ352" s="1423"/>
      <c r="AK352" s="1448" t="s">
        <v>6135</v>
      </c>
      <c r="AL352" s="1449" t="s">
        <v>5363</v>
      </c>
      <c r="AM352" s="1511" t="s">
        <v>5463</v>
      </c>
      <c r="AN352" s="1453" t="s">
        <v>578</v>
      </c>
      <c r="AO352" s="1453" t="s">
        <v>578</v>
      </c>
      <c r="AP352" s="1451" t="s">
        <v>5393</v>
      </c>
      <c r="AQ352" s="1452">
        <v>60000</v>
      </c>
      <c r="AR352" s="1453" t="s">
        <v>5575</v>
      </c>
      <c r="AS352" s="1453" t="s">
        <v>5568</v>
      </c>
      <c r="AT352" s="1453" t="s">
        <v>5381</v>
      </c>
    </row>
    <row r="353" spans="1:46" ht="16.5" customHeight="1">
      <c r="A353" s="1439" t="s">
        <v>468</v>
      </c>
      <c r="B353" s="1440">
        <v>54</v>
      </c>
      <c r="C353" s="1523" t="s">
        <v>470</v>
      </c>
      <c r="D353" s="1439"/>
      <c r="E353" s="1439"/>
      <c r="F353" s="1439"/>
      <c r="G353" s="1439"/>
      <c r="H353" s="1439" t="s">
        <v>471</v>
      </c>
      <c r="I353" s="1439"/>
      <c r="J353" s="1439"/>
      <c r="K353" s="1442" t="s">
        <v>472</v>
      </c>
      <c r="L353" s="1442">
        <f>74.75*10000</f>
        <v>747500</v>
      </c>
      <c r="M353" s="1485"/>
      <c r="N353" s="1442"/>
      <c r="O353" s="1443">
        <v>134814.32</v>
      </c>
      <c r="P353" s="1442"/>
      <c r="Q353" s="1442"/>
      <c r="R353" s="1358">
        <f>+S353*L353</f>
        <v>4485000</v>
      </c>
      <c r="S353" s="1358">
        <v>6</v>
      </c>
      <c r="T353" s="1439" t="s">
        <v>344</v>
      </c>
      <c r="U353" s="1456">
        <v>38108</v>
      </c>
      <c r="V353" s="1358"/>
      <c r="W353" s="1358">
        <f>1651421.52+16082.49+35954+17222</f>
        <v>1720680.01</v>
      </c>
      <c r="X353" s="1358"/>
      <c r="Y353" s="1358"/>
      <c r="Z353" s="1414" t="s">
        <v>345</v>
      </c>
      <c r="AB353" s="1422" t="s">
        <v>469</v>
      </c>
      <c r="AC353" s="1422"/>
      <c r="AE353" s="1423">
        <f>O353</f>
        <v>134814.32</v>
      </c>
      <c r="AF353" s="1414">
        <f>(AE353*AF208/AF204)</f>
        <v>0.13560755640116864</v>
      </c>
      <c r="AG353" s="1423">
        <f>$AG$206*AF353</f>
        <v>40829.638432269567</v>
      </c>
      <c r="AJ353" s="1423"/>
      <c r="AK353" s="1448" t="s">
        <v>6136</v>
      </c>
      <c r="AL353" s="1449" t="s">
        <v>5513</v>
      </c>
      <c r="AM353" s="1511" t="s">
        <v>5576</v>
      </c>
      <c r="AN353" s="1453" t="s">
        <v>5515</v>
      </c>
      <c r="AO353" s="1453" t="s">
        <v>5515</v>
      </c>
      <c r="AP353" s="1451" t="s">
        <v>5393</v>
      </c>
      <c r="AQ353" s="1509">
        <v>134814.32</v>
      </c>
      <c r="AR353" s="1453" t="s">
        <v>5577</v>
      </c>
      <c r="AS353" s="1453" t="s">
        <v>5578</v>
      </c>
      <c r="AT353" s="1449" t="s">
        <v>5381</v>
      </c>
    </row>
    <row r="354" spans="1:46" ht="10.5" customHeight="1">
      <c r="A354" s="1523"/>
      <c r="B354" s="1525"/>
      <c r="C354" s="1523"/>
      <c r="D354" s="1475"/>
      <c r="E354" s="1533"/>
      <c r="F354" s="1533"/>
      <c r="G354" s="1523"/>
      <c r="H354" s="1523"/>
      <c r="I354" s="1523"/>
      <c r="J354" s="1523"/>
      <c r="K354" s="1472" t="s">
        <v>98</v>
      </c>
      <c r="L354" s="1428"/>
      <c r="M354" s="1525"/>
      <c r="N354" s="1455">
        <f t="shared" ref="N354:Y354" si="59">SUM(N344:N353)</f>
        <v>0</v>
      </c>
      <c r="O354" s="1455">
        <f t="shared" si="59"/>
        <v>4179346.9899999998</v>
      </c>
      <c r="P354" s="1455">
        <f t="shared" si="59"/>
        <v>0</v>
      </c>
      <c r="Q354" s="1455">
        <f t="shared" si="59"/>
        <v>0</v>
      </c>
      <c r="R354" s="1455">
        <f t="shared" si="59"/>
        <v>4485000</v>
      </c>
      <c r="S354" s="1455">
        <f t="shared" si="59"/>
        <v>6</v>
      </c>
      <c r="T354" s="1455">
        <f t="shared" si="59"/>
        <v>0</v>
      </c>
      <c r="U354" s="1455">
        <f t="shared" si="59"/>
        <v>38108</v>
      </c>
      <c r="V354" s="1455">
        <f t="shared" si="59"/>
        <v>0</v>
      </c>
      <c r="W354" s="1455">
        <f t="shared" si="59"/>
        <v>17932354.910000004</v>
      </c>
      <c r="X354" s="1455">
        <f t="shared" si="59"/>
        <v>0</v>
      </c>
      <c r="Y354" s="1455">
        <f t="shared" si="59"/>
        <v>0</v>
      </c>
      <c r="AB354" s="1422"/>
      <c r="AC354" s="1422"/>
      <c r="AG354" s="1519"/>
      <c r="AH354" s="1423"/>
      <c r="AK354" s="1448"/>
      <c r="AL354" s="1449"/>
      <c r="AM354" s="1511"/>
      <c r="AN354" s="1453"/>
      <c r="AO354" s="1453"/>
      <c r="AP354" s="1451"/>
      <c r="AQ354" s="1509"/>
      <c r="AR354" s="1453"/>
      <c r="AS354" s="1453"/>
      <c r="AT354" s="1449"/>
    </row>
    <row r="355" spans="1:46" ht="10.5" customHeight="1">
      <c r="A355" s="1523"/>
      <c r="B355" s="1525"/>
      <c r="C355" s="1523"/>
      <c r="D355" s="1475"/>
      <c r="E355" s="1533"/>
      <c r="F355" s="1533"/>
      <c r="G355" s="1523"/>
      <c r="H355" s="1523"/>
      <c r="I355" s="1523"/>
      <c r="J355" s="1523"/>
      <c r="K355" s="1523"/>
      <c r="L355" s="1428"/>
      <c r="M355" s="1525"/>
      <c r="N355" s="1439"/>
      <c r="O355" s="1428"/>
      <c r="P355" s="1522"/>
      <c r="Q355" s="1522"/>
      <c r="R355" s="1459"/>
      <c r="S355" s="1440"/>
      <c r="T355" s="1440"/>
      <c r="U355" s="1440"/>
      <c r="V355" s="1372"/>
      <c r="W355" s="1372"/>
      <c r="X355" s="1372"/>
      <c r="Y355" s="1439"/>
      <c r="AB355" s="1422"/>
      <c r="AC355" s="1422"/>
      <c r="AG355" s="1519"/>
      <c r="AH355" s="1423"/>
      <c r="AK355" s="1448"/>
      <c r="AL355" s="1449"/>
      <c r="AM355" s="1511"/>
      <c r="AN355" s="1453"/>
      <c r="AO355" s="1453"/>
      <c r="AP355" s="1451"/>
      <c r="AQ355" s="1509"/>
      <c r="AR355" s="1453"/>
      <c r="AS355" s="1453"/>
      <c r="AT355" s="1449"/>
    </row>
    <row r="356" spans="1:46" s="1416" customFormat="1" ht="10.5" customHeight="1">
      <c r="A356" s="1971" t="s">
        <v>588</v>
      </c>
      <c r="B356" s="1972"/>
      <c r="C356" s="1972"/>
      <c r="D356" s="1972"/>
      <c r="E356" s="1972"/>
      <c r="F356" s="1972"/>
      <c r="G356" s="1972"/>
      <c r="H356" s="1972"/>
      <c r="I356" s="1972"/>
      <c r="J356" s="1972"/>
      <c r="K356" s="1972"/>
      <c r="L356" s="1972"/>
      <c r="M356" s="1972"/>
      <c r="N356" s="1972"/>
      <c r="O356" s="1973"/>
      <c r="P356" s="1417"/>
      <c r="Q356" s="1418"/>
      <c r="R356" s="1419"/>
      <c r="S356" s="1420"/>
      <c r="T356" s="1421"/>
      <c r="U356" s="1419"/>
      <c r="V356" s="1375"/>
      <c r="W356" s="1376"/>
      <c r="X356" s="1376"/>
      <c r="Y356" s="1377"/>
      <c r="AB356" s="1474"/>
      <c r="AC356" s="1474"/>
      <c r="AG356" s="1416" t="s">
        <v>287</v>
      </c>
      <c r="AH356" s="1416" t="s">
        <v>280</v>
      </c>
      <c r="AK356" s="1448"/>
      <c r="AL356" s="1449"/>
      <c r="AM356" s="1511"/>
      <c r="AN356" s="1453"/>
      <c r="AO356" s="1453"/>
      <c r="AP356" s="1451"/>
      <c r="AQ356" s="1509"/>
      <c r="AR356" s="1453"/>
      <c r="AS356" s="1453"/>
      <c r="AT356" s="1449"/>
    </row>
    <row r="357" spans="1:46" s="1416" customFormat="1" ht="10.5" customHeight="1">
      <c r="A357" s="1424"/>
      <c r="B357" s="1425"/>
      <c r="C357" s="1426" t="s">
        <v>256</v>
      </c>
      <c r="D357" s="1426" t="s">
        <v>257</v>
      </c>
      <c r="E357" s="1427" t="s">
        <v>258</v>
      </c>
      <c r="F357" s="1427" t="s">
        <v>259</v>
      </c>
      <c r="G357" s="1427" t="s">
        <v>260</v>
      </c>
      <c r="H357" s="1427" t="s">
        <v>261</v>
      </c>
      <c r="I357" s="1427" t="s">
        <v>262</v>
      </c>
      <c r="J357" s="1427" t="s">
        <v>263</v>
      </c>
      <c r="K357" s="1974" t="s">
        <v>264</v>
      </c>
      <c r="L357" s="1975"/>
      <c r="M357" s="1975"/>
      <c r="N357" s="1975" t="s">
        <v>265</v>
      </c>
      <c r="O357" s="1976"/>
      <c r="P357" s="1475"/>
      <c r="Q357" s="1476"/>
      <c r="R357" s="1430" t="s">
        <v>266</v>
      </c>
      <c r="S357" s="1430" t="s">
        <v>267</v>
      </c>
      <c r="T357" s="1430"/>
      <c r="U357" s="1430"/>
      <c r="V357" s="1977" t="s">
        <v>268</v>
      </c>
      <c r="W357" s="1978"/>
      <c r="X357" s="1978"/>
      <c r="Y357" s="1979"/>
      <c r="AB357" s="1474"/>
      <c r="AC357" s="1474"/>
      <c r="AG357" s="1499">
        <v>10305.84</v>
      </c>
      <c r="AH357" s="1499">
        <f>SUM(O359:O361)</f>
        <v>140000</v>
      </c>
      <c r="AK357" s="1448"/>
      <c r="AL357" s="1449"/>
      <c r="AM357" s="1511"/>
      <c r="AN357" s="1453"/>
      <c r="AO357" s="1453"/>
      <c r="AP357" s="1451"/>
      <c r="AQ357" s="1509"/>
      <c r="AR357" s="1453"/>
      <c r="AS357" s="1453"/>
      <c r="AT357" s="1449"/>
    </row>
    <row r="358" spans="1:46" s="1416" customFormat="1" ht="10.5" customHeight="1">
      <c r="A358" s="1436" t="s">
        <v>269</v>
      </c>
      <c r="B358" s="1430" t="s">
        <v>270</v>
      </c>
      <c r="C358" s="1436" t="s">
        <v>271</v>
      </c>
      <c r="D358" s="1436"/>
      <c r="E358" s="1436"/>
      <c r="F358" s="1436"/>
      <c r="G358" s="1436"/>
      <c r="H358" s="1436"/>
      <c r="I358" s="1436"/>
      <c r="J358" s="1436"/>
      <c r="K358" s="1436" t="s">
        <v>272</v>
      </c>
      <c r="L358" s="1429" t="s">
        <v>273</v>
      </c>
      <c r="M358" s="1430" t="s">
        <v>274</v>
      </c>
      <c r="N358" s="1430" t="s">
        <v>275</v>
      </c>
      <c r="O358" s="1430" t="s">
        <v>276</v>
      </c>
      <c r="P358" s="1437" t="s">
        <v>277</v>
      </c>
      <c r="Q358" s="1437" t="s">
        <v>278</v>
      </c>
      <c r="R358" s="1438" t="s">
        <v>279</v>
      </c>
      <c r="S358" s="1471" t="s">
        <v>280</v>
      </c>
      <c r="T358" s="1471" t="s">
        <v>281</v>
      </c>
      <c r="U358" s="1471" t="s">
        <v>282</v>
      </c>
      <c r="V358" s="1378" t="s">
        <v>283</v>
      </c>
      <c r="W358" s="1378" t="s">
        <v>284</v>
      </c>
      <c r="X358" s="1378" t="s">
        <v>285</v>
      </c>
      <c r="Y358" s="1378" t="s">
        <v>286</v>
      </c>
      <c r="AB358" s="1474"/>
      <c r="AC358" s="1474"/>
      <c r="AH358" s="1548">
        <v>1</v>
      </c>
      <c r="AK358" s="1448"/>
      <c r="AL358" s="1449"/>
      <c r="AM358" s="1511"/>
      <c r="AN358" s="1453"/>
      <c r="AO358" s="1453"/>
      <c r="AP358" s="1451"/>
      <c r="AQ358" s="1509"/>
      <c r="AR358" s="1453"/>
      <c r="AS358" s="1453"/>
      <c r="AT358" s="1449"/>
    </row>
    <row r="359" spans="1:46" ht="10.5" customHeight="1">
      <c r="A359" s="1523"/>
      <c r="B359" s="1525">
        <v>597</v>
      </c>
      <c r="C359" s="1523" t="s">
        <v>589</v>
      </c>
      <c r="D359" s="1475">
        <v>15000000</v>
      </c>
      <c r="E359" s="1533">
        <v>39309</v>
      </c>
      <c r="F359" s="1533">
        <v>39447</v>
      </c>
      <c r="G359" s="1523"/>
      <c r="H359" s="1523"/>
      <c r="I359" s="1523"/>
      <c r="J359" s="1523" t="s">
        <v>590</v>
      </c>
      <c r="K359" s="1523" t="s">
        <v>573</v>
      </c>
      <c r="L359" s="1428"/>
      <c r="M359" s="1525"/>
      <c r="N359" s="1441">
        <f>100000-1500</f>
        <v>98500</v>
      </c>
      <c r="O359" s="1428">
        <f>200000-60000</f>
        <v>140000</v>
      </c>
      <c r="P359" s="1522"/>
      <c r="Q359" s="1522"/>
      <c r="R359" s="1459"/>
      <c r="S359" s="1440"/>
      <c r="T359" s="1440"/>
      <c r="U359" s="1440"/>
      <c r="V359" s="1372"/>
      <c r="W359" s="1372">
        <f>10000000-3000002.5+867585.3+458486.78+1563653.15</f>
        <v>9889722.7300000004</v>
      </c>
      <c r="X359" s="1372"/>
      <c r="Y359" s="1372">
        <f>15000000+312000+60545.34+1878391.38+566918.18+437627.16+737278.84+859177.6+383893.66+519870.05+479389.05+479831.18+1551249.72+594580.94+1369353.96+438240+1022560-10000000-250363.61</f>
        <v>16440543.450000003</v>
      </c>
      <c r="AB359" s="1422"/>
      <c r="AC359" s="1422"/>
      <c r="AG359" s="1519"/>
      <c r="AH359" s="1423"/>
      <c r="AK359" s="1448" t="s">
        <v>6137</v>
      </c>
      <c r="AL359" s="1449" t="s">
        <v>376</v>
      </c>
      <c r="AM359" s="1449" t="s">
        <v>376</v>
      </c>
      <c r="AN359" s="1453" t="s">
        <v>573</v>
      </c>
      <c r="AO359" s="1453" t="s">
        <v>573</v>
      </c>
      <c r="AP359" s="1451" t="s">
        <v>5393</v>
      </c>
      <c r="AQ359" s="1452">
        <v>139999.95000000001</v>
      </c>
      <c r="AR359" s="1453" t="s">
        <v>5579</v>
      </c>
      <c r="AS359" s="1453" t="s">
        <v>5580</v>
      </c>
      <c r="AT359" s="1453" t="s">
        <v>5381</v>
      </c>
    </row>
    <row r="360" spans="1:46" ht="10.5" hidden="1" customHeight="1">
      <c r="A360" s="1523"/>
      <c r="B360" s="1525"/>
      <c r="C360" s="1523"/>
      <c r="D360" s="1475"/>
      <c r="E360" s="1533"/>
      <c r="F360" s="1533"/>
      <c r="G360" s="1523"/>
      <c r="H360" s="1523"/>
      <c r="I360" s="1523"/>
      <c r="J360" s="1523"/>
      <c r="K360" s="1523"/>
      <c r="L360" s="1428"/>
      <c r="M360" s="1525"/>
      <c r="N360" s="1439"/>
      <c r="O360" s="1428"/>
      <c r="P360" s="1522"/>
      <c r="Q360" s="1522"/>
      <c r="R360" s="1459"/>
      <c r="S360" s="1440"/>
      <c r="T360" s="1440"/>
      <c r="U360" s="1440"/>
      <c r="V360" s="1372"/>
      <c r="W360" s="1372"/>
      <c r="X360" s="1372"/>
      <c r="Y360" s="1439"/>
      <c r="AB360" s="1422"/>
      <c r="AC360" s="1422"/>
      <c r="AG360" s="1519"/>
      <c r="AH360" s="1423"/>
      <c r="AK360" s="1448"/>
      <c r="AL360" s="1449"/>
      <c r="AM360" s="1449"/>
      <c r="AN360" s="1453"/>
      <c r="AO360" s="1453"/>
      <c r="AP360" s="1451"/>
      <c r="AQ360" s="1452"/>
      <c r="AR360" s="1453"/>
      <c r="AS360" s="1453"/>
      <c r="AT360" s="1453"/>
    </row>
    <row r="361" spans="1:46" ht="10.5" hidden="1" customHeight="1">
      <c r="A361" s="1523"/>
      <c r="B361" s="1525"/>
      <c r="C361" s="1523"/>
      <c r="D361" s="1475"/>
      <c r="E361" s="1533"/>
      <c r="F361" s="1533"/>
      <c r="G361" s="1523"/>
      <c r="H361" s="1523"/>
      <c r="I361" s="1523"/>
      <c r="J361" s="1523"/>
      <c r="K361" s="1523"/>
      <c r="L361" s="1428"/>
      <c r="M361" s="1525"/>
      <c r="N361" s="1439"/>
      <c r="O361" s="1428"/>
      <c r="P361" s="1522"/>
      <c r="Q361" s="1522"/>
      <c r="R361" s="1459"/>
      <c r="S361" s="1440"/>
      <c r="T361" s="1440"/>
      <c r="U361" s="1440"/>
      <c r="V361" s="1372"/>
      <c r="W361" s="1372"/>
      <c r="X361" s="1372"/>
      <c r="Y361" s="1439"/>
      <c r="AB361" s="1422"/>
      <c r="AC361" s="1422"/>
      <c r="AG361" s="1519"/>
      <c r="AH361" s="1423"/>
      <c r="AK361" s="1448"/>
      <c r="AL361" s="1449"/>
      <c r="AM361" s="1449"/>
      <c r="AN361" s="1453"/>
      <c r="AO361" s="1453"/>
      <c r="AP361" s="1451"/>
      <c r="AQ361" s="1452"/>
      <c r="AR361" s="1453"/>
      <c r="AS361" s="1453"/>
      <c r="AT361" s="1453"/>
    </row>
    <row r="362" spans="1:46" ht="10.5" hidden="1" customHeight="1">
      <c r="A362" s="1523"/>
      <c r="B362" s="1525"/>
      <c r="C362" s="1523"/>
      <c r="D362" s="1475"/>
      <c r="E362" s="1533"/>
      <c r="F362" s="1533"/>
      <c r="G362" s="1523"/>
      <c r="H362" s="1523"/>
      <c r="I362" s="1523"/>
      <c r="J362" s="1523"/>
      <c r="K362" s="1523"/>
      <c r="L362" s="1428"/>
      <c r="M362" s="1525"/>
      <c r="N362" s="1439"/>
      <c r="O362" s="1428"/>
      <c r="P362" s="1522"/>
      <c r="Q362" s="1522"/>
      <c r="R362" s="1459"/>
      <c r="S362" s="1440"/>
      <c r="T362" s="1440"/>
      <c r="U362" s="1440"/>
      <c r="V362" s="1372"/>
      <c r="W362" s="1372"/>
      <c r="X362" s="1372"/>
      <c r="Y362" s="1439"/>
      <c r="AB362" s="1422"/>
      <c r="AC362" s="1422"/>
      <c r="AG362" s="1519"/>
      <c r="AH362" s="1423"/>
      <c r="AK362" s="1448"/>
      <c r="AL362" s="1449"/>
      <c r="AM362" s="1449"/>
      <c r="AN362" s="1453"/>
      <c r="AO362" s="1453"/>
      <c r="AP362" s="1451"/>
      <c r="AQ362" s="1452"/>
      <c r="AR362" s="1453"/>
      <c r="AS362" s="1453"/>
      <c r="AT362" s="1453"/>
    </row>
    <row r="363" spans="1:46" ht="10.5" hidden="1" customHeight="1">
      <c r="A363" s="1523"/>
      <c r="B363" s="1525"/>
      <c r="C363" s="1523"/>
      <c r="D363" s="1475"/>
      <c r="E363" s="1533"/>
      <c r="F363" s="1533"/>
      <c r="G363" s="1523"/>
      <c r="H363" s="1523"/>
      <c r="I363" s="1523"/>
      <c r="J363" s="1523"/>
      <c r="K363" s="1523"/>
      <c r="L363" s="1428"/>
      <c r="M363" s="1525"/>
      <c r="N363" s="1439"/>
      <c r="O363" s="1428"/>
      <c r="P363" s="1522"/>
      <c r="Q363" s="1522"/>
      <c r="R363" s="1459"/>
      <c r="S363" s="1440"/>
      <c r="T363" s="1440"/>
      <c r="U363" s="1440"/>
      <c r="V363" s="1372"/>
      <c r="W363" s="1372"/>
      <c r="X363" s="1372"/>
      <c r="Y363" s="1439"/>
      <c r="AB363" s="1422"/>
      <c r="AC363" s="1422"/>
      <c r="AG363" s="1519"/>
      <c r="AH363" s="1423"/>
      <c r="AK363" s="1448"/>
      <c r="AL363" s="1449"/>
      <c r="AM363" s="1449"/>
      <c r="AN363" s="1453"/>
      <c r="AO363" s="1453"/>
      <c r="AP363" s="1451"/>
      <c r="AQ363" s="1452"/>
      <c r="AR363" s="1453"/>
      <c r="AS363" s="1453"/>
      <c r="AT363" s="1453"/>
    </row>
    <row r="364" spans="1:46" ht="10.5" customHeight="1">
      <c r="A364" s="1439"/>
      <c r="B364" s="1440"/>
      <c r="C364" s="1439"/>
      <c r="D364" s="1439"/>
      <c r="E364" s="1456"/>
      <c r="F364" s="1456"/>
      <c r="G364" s="1439"/>
      <c r="H364" s="1439"/>
      <c r="I364" s="1439"/>
      <c r="J364" s="1439"/>
      <c r="K364" s="1442"/>
      <c r="L364" s="1442"/>
      <c r="M364" s="1442"/>
      <c r="N364" s="1442"/>
      <c r="O364" s="1443"/>
      <c r="P364" s="1442"/>
      <c r="Q364" s="1442"/>
      <c r="R364" s="1358"/>
      <c r="S364" s="1444"/>
      <c r="T364" s="1445"/>
      <c r="U364" s="1446"/>
      <c r="V364" s="1358"/>
      <c r="W364" s="1358"/>
      <c r="X364" s="1358"/>
      <c r="Y364" s="1358"/>
      <c r="AB364" s="1422"/>
      <c r="AC364" s="1422"/>
      <c r="AK364" s="1448"/>
      <c r="AL364" s="1449"/>
      <c r="AM364" s="1449"/>
      <c r="AN364" s="1453"/>
      <c r="AO364" s="1453"/>
      <c r="AP364" s="1451"/>
      <c r="AQ364" s="1452"/>
      <c r="AR364" s="1453"/>
      <c r="AS364" s="1453"/>
      <c r="AT364" s="1453"/>
    </row>
    <row r="365" spans="1:46" s="1416" customFormat="1" ht="10.5" customHeight="1">
      <c r="A365" s="1458"/>
      <c r="B365" s="1459"/>
      <c r="C365" s="1508" t="s">
        <v>569</v>
      </c>
      <c r="D365" s="1508"/>
      <c r="E365" s="1508"/>
      <c r="F365" s="1508"/>
      <c r="G365" s="1508"/>
      <c r="H365" s="1508"/>
      <c r="I365" s="1508"/>
      <c r="J365" s="1508"/>
      <c r="K365" s="1472" t="s">
        <v>98</v>
      </c>
      <c r="L365" s="1469">
        <f>SUM(L342:L364)</f>
        <v>4160095.17</v>
      </c>
      <c r="M365" s="1469">
        <f>SUM(M364:M364)</f>
        <v>0</v>
      </c>
      <c r="N365" s="1469">
        <f>SUM(N355:N364)</f>
        <v>98500</v>
      </c>
      <c r="O365" s="1469">
        <f t="shared" ref="O365:Y365" si="60">SUM(O355:O364)</f>
        <v>140000</v>
      </c>
      <c r="P365" s="1469">
        <f t="shared" si="60"/>
        <v>0</v>
      </c>
      <c r="Q365" s="1469">
        <f t="shared" si="60"/>
        <v>0</v>
      </c>
      <c r="R365" s="1469">
        <f t="shared" si="60"/>
        <v>0</v>
      </c>
      <c r="S365" s="1469">
        <f t="shared" si="60"/>
        <v>0</v>
      </c>
      <c r="T365" s="1469">
        <f t="shared" si="60"/>
        <v>0</v>
      </c>
      <c r="U365" s="1469">
        <f t="shared" si="60"/>
        <v>0</v>
      </c>
      <c r="V365" s="1469">
        <f t="shared" si="60"/>
        <v>0</v>
      </c>
      <c r="W365" s="1469">
        <f t="shared" si="60"/>
        <v>9889722.7300000004</v>
      </c>
      <c r="X365" s="1469">
        <f t="shared" si="60"/>
        <v>0</v>
      </c>
      <c r="Y365" s="1469">
        <f t="shared" si="60"/>
        <v>16440543.450000003</v>
      </c>
      <c r="AB365" s="1474"/>
      <c r="AC365" s="1474"/>
      <c r="AK365" s="1448"/>
      <c r="AL365" s="1449"/>
      <c r="AM365" s="1449"/>
      <c r="AN365" s="1453"/>
      <c r="AO365" s="1453"/>
      <c r="AP365" s="1451"/>
      <c r="AQ365" s="1452"/>
      <c r="AR365" s="1453"/>
      <c r="AS365" s="1453"/>
      <c r="AT365" s="1453"/>
    </row>
    <row r="366" spans="1:46" s="1416" customFormat="1" ht="10.5" customHeight="1">
      <c r="K366" s="1468" t="s">
        <v>365</v>
      </c>
      <c r="L366" s="1499">
        <f>L365</f>
        <v>4160095.17</v>
      </c>
      <c r="M366" s="1499">
        <f>M365</f>
        <v>0</v>
      </c>
      <c r="N366" s="1499">
        <f>N354+N365</f>
        <v>98500</v>
      </c>
      <c r="O366" s="1499">
        <f t="shared" ref="O366:Y366" si="61">O354+O365</f>
        <v>4319346.99</v>
      </c>
      <c r="P366" s="1499">
        <f t="shared" si="61"/>
        <v>0</v>
      </c>
      <c r="Q366" s="1499">
        <f t="shared" si="61"/>
        <v>0</v>
      </c>
      <c r="R366" s="1499">
        <f t="shared" si="61"/>
        <v>4485000</v>
      </c>
      <c r="S366" s="1499">
        <f t="shared" si="61"/>
        <v>6</v>
      </c>
      <c r="T366" s="1499">
        <f t="shared" si="61"/>
        <v>0</v>
      </c>
      <c r="U366" s="1499">
        <f t="shared" si="61"/>
        <v>38108</v>
      </c>
      <c r="V366" s="1499">
        <f t="shared" si="61"/>
        <v>0</v>
      </c>
      <c r="W366" s="1499">
        <f t="shared" si="61"/>
        <v>27822077.640000004</v>
      </c>
      <c r="X366" s="1499">
        <f t="shared" si="61"/>
        <v>0</v>
      </c>
      <c r="Y366" s="1499">
        <f t="shared" si="61"/>
        <v>16440543.450000003</v>
      </c>
      <c r="AB366" s="1474"/>
      <c r="AC366" s="1474"/>
      <c r="AK366" s="1448"/>
      <c r="AL366" s="1449"/>
      <c r="AM366" s="1449"/>
      <c r="AN366" s="1453"/>
      <c r="AO366" s="1453"/>
      <c r="AP366" s="1451"/>
      <c r="AQ366" s="1452"/>
      <c r="AR366" s="1453"/>
      <c r="AS366" s="1453"/>
      <c r="AT366" s="1453"/>
    </row>
    <row r="367" spans="1:46" s="1416" customFormat="1" ht="10.5" customHeight="1">
      <c r="K367" s="1468"/>
      <c r="L367" s="1499"/>
      <c r="M367" s="1499"/>
      <c r="N367" s="1499"/>
      <c r="O367" s="1499"/>
      <c r="P367" s="1499"/>
      <c r="Q367" s="1499"/>
      <c r="R367" s="1499"/>
      <c r="S367" s="1499"/>
      <c r="T367" s="1499"/>
      <c r="U367" s="1499"/>
      <c r="V367" s="1499"/>
      <c r="W367" s="1499"/>
      <c r="X367" s="1499"/>
      <c r="Y367" s="1499"/>
      <c r="AB367" s="1474"/>
      <c r="AC367" s="1474"/>
      <c r="AK367" s="1448"/>
      <c r="AL367" s="1449"/>
      <c r="AM367" s="1449"/>
      <c r="AN367" s="1453"/>
      <c r="AO367" s="1453"/>
      <c r="AP367" s="1451"/>
      <c r="AQ367" s="1452"/>
      <c r="AR367" s="1453"/>
      <c r="AS367" s="1453"/>
      <c r="AT367" s="1453"/>
    </row>
    <row r="368" spans="1:46" s="1416" customFormat="1" ht="10.5" customHeight="1">
      <c r="K368" s="1468"/>
      <c r="L368" s="1499"/>
      <c r="M368" s="1499"/>
      <c r="N368" s="1499"/>
      <c r="O368" s="1499"/>
      <c r="P368" s="1499"/>
      <c r="Q368" s="1499"/>
      <c r="R368" s="1499"/>
      <c r="S368" s="1499"/>
      <c r="T368" s="1499"/>
      <c r="U368" s="1499"/>
      <c r="V368" s="1499"/>
      <c r="W368" s="1499"/>
      <c r="X368" s="1499"/>
      <c r="Y368" s="1499"/>
      <c r="AB368" s="1474"/>
      <c r="AC368" s="1474"/>
      <c r="AK368" s="1448"/>
      <c r="AL368" s="1449"/>
      <c r="AM368" s="1449"/>
      <c r="AN368" s="1453"/>
      <c r="AO368" s="1453"/>
      <c r="AP368" s="1451"/>
      <c r="AQ368" s="1452"/>
      <c r="AR368" s="1453"/>
      <c r="AS368" s="1453"/>
      <c r="AT368" s="1453"/>
    </row>
    <row r="369" spans="1:46" s="1416" customFormat="1" ht="10.5" customHeight="1">
      <c r="K369" s="1468"/>
      <c r="L369" s="1499"/>
      <c r="M369" s="1499"/>
      <c r="N369" s="1499"/>
      <c r="O369" s="1499"/>
      <c r="P369" s="1499"/>
      <c r="Q369" s="1499"/>
      <c r="R369" s="1499"/>
      <c r="S369" s="1499"/>
      <c r="T369" s="1499"/>
      <c r="U369" s="1499"/>
      <c r="V369" s="1499"/>
      <c r="W369" s="1499"/>
      <c r="X369" s="1499"/>
      <c r="Y369" s="1499"/>
      <c r="AB369" s="1474"/>
      <c r="AC369" s="1474"/>
      <c r="AK369" s="1448"/>
      <c r="AL369" s="1449"/>
      <c r="AM369" s="1449"/>
      <c r="AN369" s="1453"/>
      <c r="AO369" s="1453"/>
      <c r="AP369" s="1451"/>
      <c r="AQ369" s="1452"/>
      <c r="AR369" s="1453"/>
      <c r="AS369" s="1453"/>
      <c r="AT369" s="1453"/>
    </row>
    <row r="370" spans="1:46" s="1416" customFormat="1" ht="10.5" customHeight="1">
      <c r="A370" s="1971" t="s">
        <v>591</v>
      </c>
      <c r="B370" s="1972"/>
      <c r="C370" s="1972"/>
      <c r="D370" s="1972"/>
      <c r="E370" s="1972"/>
      <c r="F370" s="1972"/>
      <c r="G370" s="1972"/>
      <c r="H370" s="1972"/>
      <c r="I370" s="1972"/>
      <c r="J370" s="1972"/>
      <c r="K370" s="1972"/>
      <c r="L370" s="1972"/>
      <c r="M370" s="1972"/>
      <c r="N370" s="1972"/>
      <c r="O370" s="1973"/>
      <c r="P370" s="1417"/>
      <c r="Q370" s="1418"/>
      <c r="R370" s="1419"/>
      <c r="S370" s="1420"/>
      <c r="T370" s="1421"/>
      <c r="U370" s="1419"/>
      <c r="V370" s="1375"/>
      <c r="W370" s="1376"/>
      <c r="X370" s="1376"/>
      <c r="Y370" s="1377"/>
      <c r="AB370" s="1474"/>
      <c r="AC370" s="1474"/>
      <c r="AG370" s="1416" t="s">
        <v>287</v>
      </c>
      <c r="AH370" s="1416" t="s">
        <v>280</v>
      </c>
      <c r="AK370" s="1448"/>
      <c r="AL370" s="1449"/>
      <c r="AM370" s="1449"/>
      <c r="AN370" s="1453"/>
      <c r="AO370" s="1453"/>
      <c r="AP370" s="1451"/>
      <c r="AQ370" s="1452"/>
      <c r="AR370" s="1453"/>
      <c r="AS370" s="1453"/>
      <c r="AT370" s="1453"/>
    </row>
    <row r="371" spans="1:46" s="1416" customFormat="1" ht="10.5" customHeight="1">
      <c r="A371" s="1424"/>
      <c r="B371" s="1425"/>
      <c r="C371" s="1426" t="s">
        <v>256</v>
      </c>
      <c r="D371" s="1426" t="s">
        <v>257</v>
      </c>
      <c r="E371" s="1427" t="s">
        <v>258</v>
      </c>
      <c r="F371" s="1427" t="s">
        <v>259</v>
      </c>
      <c r="G371" s="1427" t="s">
        <v>260</v>
      </c>
      <c r="H371" s="1427" t="s">
        <v>261</v>
      </c>
      <c r="I371" s="1427" t="s">
        <v>262</v>
      </c>
      <c r="J371" s="1427" t="s">
        <v>263</v>
      </c>
      <c r="K371" s="1974" t="s">
        <v>264</v>
      </c>
      <c r="L371" s="1975"/>
      <c r="M371" s="1975"/>
      <c r="N371" s="1975" t="s">
        <v>265</v>
      </c>
      <c r="O371" s="1976"/>
      <c r="P371" s="1475"/>
      <c r="Q371" s="1476"/>
      <c r="R371" s="1430" t="s">
        <v>266</v>
      </c>
      <c r="S371" s="1430" t="s">
        <v>267</v>
      </c>
      <c r="T371" s="1430"/>
      <c r="U371" s="1430"/>
      <c r="V371" s="1977" t="s">
        <v>268</v>
      </c>
      <c r="W371" s="1978"/>
      <c r="X371" s="1978"/>
      <c r="Y371" s="1979"/>
      <c r="AB371" s="1474"/>
      <c r="AC371" s="1474"/>
      <c r="AG371" s="1499">
        <v>10305.84</v>
      </c>
      <c r="AH371" s="1499">
        <f>SUM(N373:N375)</f>
        <v>0</v>
      </c>
      <c r="AK371" s="1448"/>
      <c r="AL371" s="1449"/>
      <c r="AM371" s="1449"/>
      <c r="AN371" s="1453"/>
      <c r="AO371" s="1453"/>
      <c r="AP371" s="1451"/>
      <c r="AQ371" s="1452"/>
      <c r="AR371" s="1453"/>
      <c r="AS371" s="1453"/>
      <c r="AT371" s="1453"/>
    </row>
    <row r="372" spans="1:46" s="1416" customFormat="1" ht="10.5" customHeight="1">
      <c r="A372" s="1436" t="s">
        <v>269</v>
      </c>
      <c r="B372" s="1430" t="s">
        <v>270</v>
      </c>
      <c r="C372" s="1436" t="s">
        <v>271</v>
      </c>
      <c r="D372" s="1436"/>
      <c r="E372" s="1436"/>
      <c r="F372" s="1436"/>
      <c r="G372" s="1436"/>
      <c r="H372" s="1436"/>
      <c r="I372" s="1436"/>
      <c r="J372" s="1436"/>
      <c r="K372" s="1436" t="s">
        <v>272</v>
      </c>
      <c r="L372" s="1429" t="s">
        <v>273</v>
      </c>
      <c r="M372" s="1430" t="s">
        <v>274</v>
      </c>
      <c r="N372" s="1430" t="s">
        <v>275</v>
      </c>
      <c r="O372" s="1430" t="s">
        <v>276</v>
      </c>
      <c r="P372" s="1437" t="s">
        <v>277</v>
      </c>
      <c r="Q372" s="1437" t="s">
        <v>278</v>
      </c>
      <c r="R372" s="1438" t="s">
        <v>279</v>
      </c>
      <c r="S372" s="1471" t="s">
        <v>280</v>
      </c>
      <c r="T372" s="1471" t="s">
        <v>281</v>
      </c>
      <c r="U372" s="1471" t="s">
        <v>282</v>
      </c>
      <c r="V372" s="1378" t="s">
        <v>283</v>
      </c>
      <c r="W372" s="1378" t="s">
        <v>284</v>
      </c>
      <c r="X372" s="1378" t="s">
        <v>285</v>
      </c>
      <c r="Y372" s="1378" t="s">
        <v>286</v>
      </c>
      <c r="AB372" s="1474"/>
      <c r="AC372" s="1474"/>
      <c r="AH372" s="1548">
        <v>1</v>
      </c>
      <c r="AK372" s="1448"/>
      <c r="AL372" s="1449"/>
      <c r="AM372" s="1449"/>
      <c r="AN372" s="1453"/>
      <c r="AO372" s="1453"/>
      <c r="AP372" s="1451"/>
      <c r="AQ372" s="1452"/>
      <c r="AR372" s="1453"/>
      <c r="AS372" s="1453"/>
      <c r="AT372" s="1453"/>
    </row>
    <row r="373" spans="1:46" ht="10.5" hidden="1" customHeight="1">
      <c r="A373" s="1523"/>
      <c r="B373" s="1525"/>
      <c r="C373" s="1523" t="s">
        <v>592</v>
      </c>
      <c r="D373" s="1475">
        <v>1250385.5</v>
      </c>
      <c r="E373" s="1533">
        <v>40329</v>
      </c>
      <c r="F373" s="1533">
        <v>40289</v>
      </c>
      <c r="G373" s="1523"/>
      <c r="H373" s="1523"/>
      <c r="I373" s="1523"/>
      <c r="J373" s="1523" t="s">
        <v>593</v>
      </c>
      <c r="K373" s="1523" t="s">
        <v>594</v>
      </c>
      <c r="L373" s="1428">
        <v>10000</v>
      </c>
      <c r="M373" s="1525"/>
      <c r="N373" s="1428"/>
      <c r="O373" s="1428">
        <f>16671.82-16671.82</f>
        <v>0</v>
      </c>
      <c r="P373" s="1522"/>
      <c r="Q373" s="1522"/>
      <c r="R373" s="1459"/>
      <c r="S373" s="1440"/>
      <c r="T373" s="1440"/>
      <c r="U373" s="1440"/>
      <c r="V373" s="1372"/>
      <c r="W373" s="1475">
        <f>1250385.5-1250385.5</f>
        <v>0</v>
      </c>
      <c r="X373" s="1372"/>
      <c r="Y373" s="1372"/>
      <c r="AB373" s="1422"/>
      <c r="AC373" s="1422"/>
      <c r="AG373" s="1519" t="e">
        <f>(N373*AH372)/AH371</f>
        <v>#DIV/0!</v>
      </c>
      <c r="AH373" s="1423" t="e">
        <f>AG371*AG373</f>
        <v>#DIV/0!</v>
      </c>
      <c r="AK373" s="1448"/>
      <c r="AL373" s="1449"/>
      <c r="AM373" s="1449"/>
      <c r="AN373" s="1453"/>
      <c r="AO373" s="1453"/>
      <c r="AP373" s="1451"/>
      <c r="AQ373" s="1452"/>
      <c r="AR373" s="1453"/>
      <c r="AS373" s="1453"/>
      <c r="AT373" s="1453"/>
    </row>
    <row r="374" spans="1:46" ht="10.5" hidden="1" customHeight="1">
      <c r="A374" s="1523" t="s">
        <v>595</v>
      </c>
      <c r="B374" s="1525">
        <v>105</v>
      </c>
      <c r="C374" s="1523" t="s">
        <v>596</v>
      </c>
      <c r="D374" s="1475">
        <v>1000000</v>
      </c>
      <c r="E374" s="1533">
        <v>40329</v>
      </c>
      <c r="F374" s="1533">
        <v>40289</v>
      </c>
      <c r="G374" s="1523"/>
      <c r="H374" s="1523"/>
      <c r="I374" s="1523"/>
      <c r="J374" s="1523" t="s">
        <v>593</v>
      </c>
      <c r="K374" s="1523" t="s">
        <v>594</v>
      </c>
      <c r="L374" s="1428">
        <v>1700000</v>
      </c>
      <c r="M374" s="1525"/>
      <c r="N374" s="1428"/>
      <c r="O374" s="1428">
        <f>8781.44-8781.44</f>
        <v>0</v>
      </c>
      <c r="P374" s="1522"/>
      <c r="Q374" s="1522"/>
      <c r="R374" s="1459"/>
      <c r="S374" s="1440"/>
      <c r="T374" s="1440"/>
      <c r="U374" s="1440"/>
      <c r="V374" s="1372"/>
      <c r="W374" s="1475">
        <f>1000000-1000000</f>
        <v>0</v>
      </c>
      <c r="X374" s="1372"/>
      <c r="Y374" s="1372"/>
      <c r="AB374" s="1422"/>
      <c r="AC374" s="1422"/>
      <c r="AG374" s="1519" t="e">
        <f>(N374*AH372)/AH371</f>
        <v>#DIV/0!</v>
      </c>
      <c r="AH374" s="1423" t="e">
        <f>AG371*AG374</f>
        <v>#DIV/0!</v>
      </c>
      <c r="AK374" s="1448"/>
      <c r="AL374" s="1449"/>
      <c r="AM374" s="1449"/>
      <c r="AN374" s="1453"/>
      <c r="AO374" s="1453"/>
      <c r="AP374" s="1451"/>
      <c r="AQ374" s="1452"/>
      <c r="AR374" s="1453"/>
      <c r="AS374" s="1453"/>
      <c r="AT374" s="1453"/>
    </row>
    <row r="375" spans="1:46" ht="10.5" hidden="1" customHeight="1">
      <c r="A375" s="1523" t="s">
        <v>597</v>
      </c>
      <c r="B375" s="1525">
        <v>98</v>
      </c>
      <c r="C375" s="1523" t="s">
        <v>598</v>
      </c>
      <c r="D375" s="1475">
        <v>512526</v>
      </c>
      <c r="E375" s="1533">
        <v>40329</v>
      </c>
      <c r="F375" s="1533">
        <v>40289</v>
      </c>
      <c r="G375" s="1523"/>
      <c r="H375" s="1523"/>
      <c r="I375" s="1523"/>
      <c r="J375" s="1523" t="s">
        <v>593</v>
      </c>
      <c r="K375" s="1523" t="s">
        <v>594</v>
      </c>
      <c r="L375" s="1428">
        <v>1702595.17</v>
      </c>
      <c r="M375" s="1525"/>
      <c r="N375" s="1428"/>
      <c r="O375" s="1428">
        <f>8542.4-8542.4</f>
        <v>0</v>
      </c>
      <c r="P375" s="1522"/>
      <c r="Q375" s="1522"/>
      <c r="R375" s="1459"/>
      <c r="S375" s="1440"/>
      <c r="T375" s="1440"/>
      <c r="U375" s="1440"/>
      <c r="V375" s="1372"/>
      <c r="W375" s="1475">
        <f>512526-512526</f>
        <v>0</v>
      </c>
      <c r="X375" s="1372"/>
      <c r="Y375" s="1372"/>
      <c r="AB375" s="1422"/>
      <c r="AC375" s="1422"/>
      <c r="AG375" s="1519" t="e">
        <f>(N375*AH372)/AH371</f>
        <v>#DIV/0!</v>
      </c>
      <c r="AH375" s="1423" t="e">
        <f>AG371*AG375</f>
        <v>#DIV/0!</v>
      </c>
      <c r="AK375" s="1448"/>
      <c r="AL375" s="1449"/>
      <c r="AM375" s="1449"/>
      <c r="AN375" s="1453"/>
      <c r="AO375" s="1453"/>
      <c r="AP375" s="1451"/>
      <c r="AQ375" s="1452"/>
      <c r="AR375" s="1453"/>
      <c r="AS375" s="1453"/>
      <c r="AT375" s="1453"/>
    </row>
    <row r="376" spans="1:46" ht="10.5" hidden="1" customHeight="1">
      <c r="A376" s="1523" t="s">
        <v>599</v>
      </c>
      <c r="B376" s="1525"/>
      <c r="C376" s="1523" t="s">
        <v>600</v>
      </c>
      <c r="D376" s="1475">
        <v>890799</v>
      </c>
      <c r="E376" s="1533">
        <v>40329</v>
      </c>
      <c r="F376" s="1533">
        <v>40289</v>
      </c>
      <c r="G376" s="1523"/>
      <c r="H376" s="1523"/>
      <c r="I376" s="1523"/>
      <c r="J376" s="1523" t="s">
        <v>593</v>
      </c>
      <c r="K376" s="1523" t="s">
        <v>594</v>
      </c>
      <c r="L376" s="1428"/>
      <c r="M376" s="1525"/>
      <c r="N376" s="1428"/>
      <c r="O376" s="1428">
        <f>14846.65-14846.65</f>
        <v>0</v>
      </c>
      <c r="P376" s="1522"/>
      <c r="Q376" s="1522"/>
      <c r="R376" s="1459"/>
      <c r="S376" s="1440"/>
      <c r="T376" s="1440"/>
      <c r="U376" s="1440"/>
      <c r="V376" s="1372"/>
      <c r="W376" s="1475">
        <f>890799-890799</f>
        <v>0</v>
      </c>
      <c r="X376" s="1372"/>
      <c r="Y376" s="1372"/>
      <c r="AB376" s="1422"/>
      <c r="AC376" s="1422"/>
      <c r="AG376" s="1519"/>
      <c r="AH376" s="1423"/>
      <c r="AK376" s="1448" t="s">
        <v>5581</v>
      </c>
      <c r="AL376" s="1453" t="s">
        <v>5582</v>
      </c>
      <c r="AM376" s="1453" t="s">
        <v>5494</v>
      </c>
      <c r="AN376" s="1451" t="s">
        <v>5520</v>
      </c>
      <c r="AO376" s="1451" t="s">
        <v>5520</v>
      </c>
      <c r="AP376" s="1451" t="s">
        <v>5583</v>
      </c>
      <c r="AQ376" s="1549">
        <v>50000</v>
      </c>
      <c r="AR376" s="1453" t="s">
        <v>5584</v>
      </c>
      <c r="AS376" s="1453" t="s">
        <v>5585</v>
      </c>
      <c r="AT376" s="1451" t="s">
        <v>5381</v>
      </c>
    </row>
    <row r="377" spans="1:46" ht="10.5" hidden="1" customHeight="1">
      <c r="A377" s="1523" t="s">
        <v>601</v>
      </c>
      <c r="B377" s="1525"/>
      <c r="C377" s="1523" t="s">
        <v>602</v>
      </c>
      <c r="D377" s="1475">
        <v>856584.3</v>
      </c>
      <c r="E377" s="1533">
        <v>40329</v>
      </c>
      <c r="F377" s="1533">
        <v>40289</v>
      </c>
      <c r="G377" s="1523"/>
      <c r="H377" s="1523"/>
      <c r="I377" s="1523"/>
      <c r="J377" s="1523" t="s">
        <v>593</v>
      </c>
      <c r="K377" s="1523" t="s">
        <v>594</v>
      </c>
      <c r="L377" s="1428"/>
      <c r="M377" s="1525"/>
      <c r="N377" s="1428"/>
      <c r="O377" s="1428">
        <f>13178.22-13178.22</f>
        <v>0</v>
      </c>
      <c r="P377" s="1522"/>
      <c r="Q377" s="1522"/>
      <c r="R377" s="1459"/>
      <c r="S377" s="1440"/>
      <c r="T377" s="1440"/>
      <c r="U377" s="1440"/>
      <c r="V377" s="1372"/>
      <c r="W377" s="1475">
        <f>856584.3-856584.3</f>
        <v>0</v>
      </c>
      <c r="X377" s="1372"/>
      <c r="Y377" s="1372"/>
      <c r="AB377" s="1422"/>
      <c r="AC377" s="1422"/>
      <c r="AG377" s="1519"/>
      <c r="AH377" s="1423"/>
    </row>
    <row r="378" spans="1:46" ht="10.5" customHeight="1">
      <c r="A378" s="1523"/>
      <c r="B378" s="1525">
        <v>22</v>
      </c>
      <c r="C378" s="1523" t="s">
        <v>603</v>
      </c>
      <c r="D378" s="1475">
        <v>1900000</v>
      </c>
      <c r="E378" s="1533">
        <v>41274</v>
      </c>
      <c r="F378" s="1533"/>
      <c r="G378" s="1523"/>
      <c r="H378" s="1523" t="s">
        <v>604</v>
      </c>
      <c r="I378" s="1523"/>
      <c r="J378" s="1523" t="s">
        <v>605</v>
      </c>
      <c r="K378" s="1523"/>
      <c r="L378" s="1428"/>
      <c r="M378" s="1525"/>
      <c r="N378" s="1428"/>
      <c r="O378" s="1428">
        <v>50000</v>
      </c>
      <c r="P378" s="1522"/>
      <c r="Q378" s="1522"/>
      <c r="R378" s="1459"/>
      <c r="S378" s="1440"/>
      <c r="T378" s="1440"/>
      <c r="U378" s="1440"/>
      <c r="V378" s="1372"/>
      <c r="W378" s="1372">
        <f>1900000+326760.48+79855.9+292601.7+39520+762246.84</f>
        <v>3400984.92</v>
      </c>
      <c r="X378" s="1372"/>
      <c r="Y378" s="1372"/>
      <c r="AB378" s="1422"/>
      <c r="AC378" s="1422"/>
      <c r="AG378" s="1519"/>
      <c r="AH378" s="1423"/>
      <c r="AK378" s="1448" t="s">
        <v>6138</v>
      </c>
      <c r="AL378" s="1453" t="s">
        <v>5582</v>
      </c>
      <c r="AM378" s="1453" t="s">
        <v>5494</v>
      </c>
      <c r="AN378" s="1451" t="s">
        <v>5520</v>
      </c>
      <c r="AO378" s="1451" t="s">
        <v>5520</v>
      </c>
      <c r="AP378" s="1451" t="s">
        <v>5583</v>
      </c>
      <c r="AQ378" s="1549">
        <v>50000</v>
      </c>
      <c r="AR378" s="1453" t="s">
        <v>5584</v>
      </c>
      <c r="AS378" s="1453" t="s">
        <v>5585</v>
      </c>
      <c r="AT378" s="1451" t="s">
        <v>5381</v>
      </c>
    </row>
    <row r="379" spans="1:46" ht="10.5" customHeight="1">
      <c r="A379" s="1439"/>
      <c r="B379" s="1440"/>
      <c r="C379" s="1439"/>
      <c r="D379" s="1439"/>
      <c r="E379" s="1456"/>
      <c r="F379" s="1456"/>
      <c r="G379" s="1439"/>
      <c r="H379" s="1439"/>
      <c r="I379" s="1439"/>
      <c r="J379" s="1439"/>
      <c r="K379" s="1442"/>
      <c r="L379" s="1442"/>
      <c r="M379" s="1442"/>
      <c r="N379" s="1442"/>
      <c r="O379" s="1443"/>
      <c r="P379" s="1442"/>
      <c r="Q379" s="1442"/>
      <c r="R379" s="1358"/>
      <c r="S379" s="1444"/>
      <c r="T379" s="1445"/>
      <c r="U379" s="1446"/>
      <c r="V379" s="1358"/>
      <c r="W379" s="1358">
        <f>+R379</f>
        <v>0</v>
      </c>
      <c r="X379" s="1358"/>
      <c r="Y379" s="1358"/>
      <c r="AB379" s="1422"/>
      <c r="AC379" s="1422"/>
    </row>
    <row r="380" spans="1:46" s="1416" customFormat="1" ht="10.5" customHeight="1">
      <c r="A380" s="1458"/>
      <c r="B380" s="1459"/>
      <c r="C380" s="1508" t="s">
        <v>591</v>
      </c>
      <c r="D380" s="1508"/>
      <c r="E380" s="1508"/>
      <c r="F380" s="1508"/>
      <c r="G380" s="1508"/>
      <c r="H380" s="1508"/>
      <c r="I380" s="1508"/>
      <c r="J380" s="1508"/>
      <c r="K380" s="1472" t="s">
        <v>98</v>
      </c>
      <c r="L380" s="1469">
        <f>SUM(L371:L379)</f>
        <v>3412595.17</v>
      </c>
      <c r="M380" s="1469">
        <f>SUM(M379:M379)</f>
        <v>0</v>
      </c>
      <c r="N380" s="1469">
        <f>SUM(N373:N379)</f>
        <v>0</v>
      </c>
      <c r="O380" s="1469">
        <f>SUM(O373:O379)</f>
        <v>50000</v>
      </c>
      <c r="P380" s="1469">
        <f>SUM(P379:P379)</f>
        <v>0</v>
      </c>
      <c r="Q380" s="1469">
        <f>SUM(Q379:Q379)</f>
        <v>0</v>
      </c>
      <c r="R380" s="1469">
        <f>SUM(R379:R379)</f>
        <v>0</v>
      </c>
      <c r="S380" s="1439"/>
      <c r="T380" s="1439"/>
      <c r="U380" s="1439"/>
      <c r="V380" s="1371">
        <f>SUM(V373:V379)</f>
        <v>0</v>
      </c>
      <c r="W380" s="1371">
        <f>SUM(W373:W379)</f>
        <v>3400984.92</v>
      </c>
      <c r="X380" s="1371">
        <f>SUM(X373:X379)</f>
        <v>0</v>
      </c>
      <c r="Y380" s="1371"/>
      <c r="AB380" s="1474"/>
      <c r="AC380" s="1474"/>
    </row>
    <row r="381" spans="1:46" s="1416" customFormat="1" ht="10.5" customHeight="1">
      <c r="D381" s="1499">
        <f>SUM(D373:D380)</f>
        <v>6410294.7999999998</v>
      </c>
      <c r="K381" s="1468" t="s">
        <v>365</v>
      </c>
      <c r="L381" s="1499">
        <f>L380</f>
        <v>3412595.17</v>
      </c>
      <c r="M381" s="1499">
        <f>M380</f>
        <v>0</v>
      </c>
      <c r="N381" s="1499">
        <f>SUM(N373:N379)</f>
        <v>0</v>
      </c>
      <c r="O381" s="1499">
        <f>O380</f>
        <v>50000</v>
      </c>
      <c r="P381" s="1499"/>
      <c r="Q381" s="1499"/>
      <c r="R381" s="1499"/>
      <c r="S381" s="1499">
        <f>S380</f>
        <v>0</v>
      </c>
      <c r="T381" s="1499">
        <f>T380</f>
        <v>0</v>
      </c>
      <c r="U381" s="1499">
        <f>U380</f>
        <v>0</v>
      </c>
      <c r="V381" s="1499">
        <f>SUM(V372:V380)</f>
        <v>0</v>
      </c>
      <c r="W381" s="1499">
        <f>SUM(W372:W379)</f>
        <v>3400984.92</v>
      </c>
      <c r="X381" s="1499">
        <f>SUM(X372:X380)</f>
        <v>0</v>
      </c>
      <c r="Y381" s="1499">
        <f>SUM(Y372:Y380)</f>
        <v>0</v>
      </c>
      <c r="AB381" s="1474"/>
      <c r="AC381" s="1474"/>
    </row>
    <row r="382" spans="1:46" s="1416" customFormat="1" ht="10.5" customHeight="1">
      <c r="K382" s="1468"/>
      <c r="L382" s="1499"/>
      <c r="M382" s="1499"/>
      <c r="N382" s="1499"/>
      <c r="O382" s="1499"/>
      <c r="P382" s="1499"/>
      <c r="Q382" s="1499"/>
      <c r="R382" s="1499"/>
      <c r="S382" s="1499"/>
      <c r="T382" s="1499"/>
      <c r="U382" s="1499"/>
      <c r="V382" s="1499"/>
      <c r="W382" s="1499"/>
      <c r="X382" s="1499"/>
      <c r="Y382" s="1499"/>
      <c r="AB382" s="1474"/>
      <c r="AC382" s="1474"/>
    </row>
    <row r="383" spans="1:46" s="1416" customFormat="1" ht="10.5" customHeight="1">
      <c r="K383" s="1468"/>
      <c r="L383" s="1499"/>
      <c r="M383" s="1499"/>
      <c r="N383" s="1499"/>
      <c r="O383" s="1499"/>
      <c r="P383" s="1499"/>
      <c r="Q383" s="1499"/>
      <c r="R383" s="1499"/>
      <c r="S383" s="1499"/>
      <c r="T383" s="1499"/>
      <c r="U383" s="1499"/>
      <c r="V383" s="1499"/>
      <c r="W383" s="1499"/>
      <c r="X383" s="1499"/>
      <c r="Y383" s="1499"/>
      <c r="AB383" s="1474"/>
      <c r="AC383" s="1474"/>
    </row>
    <row r="384" spans="1:46" s="1416" customFormat="1" ht="10.5" customHeight="1">
      <c r="A384" s="1971" t="s">
        <v>606</v>
      </c>
      <c r="B384" s="1972"/>
      <c r="C384" s="1972"/>
      <c r="D384" s="1972"/>
      <c r="E384" s="1972"/>
      <c r="F384" s="1972"/>
      <c r="G384" s="1972"/>
      <c r="H384" s="1972"/>
      <c r="I384" s="1972"/>
      <c r="J384" s="1972"/>
      <c r="K384" s="1972"/>
      <c r="L384" s="1972"/>
      <c r="M384" s="1972"/>
      <c r="N384" s="1972"/>
      <c r="O384" s="1973"/>
      <c r="P384" s="1417"/>
      <c r="Q384" s="1418"/>
      <c r="R384" s="1419"/>
      <c r="S384" s="1420"/>
      <c r="T384" s="1421"/>
      <c r="U384" s="1419"/>
      <c r="V384" s="1375"/>
      <c r="W384" s="1376"/>
      <c r="X384" s="1376"/>
      <c r="Y384" s="1377"/>
      <c r="AB384" s="1474"/>
      <c r="AC384" s="1474"/>
      <c r="AG384" s="1416" t="s">
        <v>287</v>
      </c>
      <c r="AH384" s="1416" t="s">
        <v>280</v>
      </c>
    </row>
    <row r="385" spans="1:34" s="1416" customFormat="1" ht="10.5" customHeight="1">
      <c r="A385" s="1424"/>
      <c r="B385" s="1425"/>
      <c r="C385" s="1426" t="s">
        <v>256</v>
      </c>
      <c r="D385" s="1426" t="s">
        <v>257</v>
      </c>
      <c r="E385" s="1427" t="s">
        <v>258</v>
      </c>
      <c r="F385" s="1427" t="s">
        <v>259</v>
      </c>
      <c r="G385" s="1427" t="s">
        <v>260</v>
      </c>
      <c r="H385" s="1427" t="s">
        <v>261</v>
      </c>
      <c r="I385" s="1427" t="s">
        <v>262</v>
      </c>
      <c r="J385" s="1427" t="s">
        <v>263</v>
      </c>
      <c r="K385" s="1974" t="s">
        <v>264</v>
      </c>
      <c r="L385" s="1975"/>
      <c r="M385" s="1975"/>
      <c r="N385" s="1975" t="s">
        <v>265</v>
      </c>
      <c r="O385" s="1976"/>
      <c r="P385" s="1475"/>
      <c r="Q385" s="1476"/>
      <c r="R385" s="1430" t="s">
        <v>266</v>
      </c>
      <c r="S385" s="1430" t="s">
        <v>267</v>
      </c>
      <c r="T385" s="1430"/>
      <c r="U385" s="1430"/>
      <c r="V385" s="1977" t="s">
        <v>268</v>
      </c>
      <c r="W385" s="1978"/>
      <c r="X385" s="1978"/>
      <c r="Y385" s="1979"/>
      <c r="AB385" s="1474"/>
      <c r="AC385" s="1474"/>
      <c r="AG385" s="1499">
        <v>10305.84</v>
      </c>
      <c r="AH385" s="1499">
        <f>SUM(N387:N389)</f>
        <v>0</v>
      </c>
    </row>
    <row r="386" spans="1:34" s="1416" customFormat="1" ht="10.5" customHeight="1">
      <c r="A386" s="1436" t="s">
        <v>269</v>
      </c>
      <c r="B386" s="1430" t="s">
        <v>270</v>
      </c>
      <c r="C386" s="1436" t="s">
        <v>271</v>
      </c>
      <c r="D386" s="1436"/>
      <c r="E386" s="1436"/>
      <c r="F386" s="1436"/>
      <c r="G386" s="1436"/>
      <c r="H386" s="1436"/>
      <c r="I386" s="1436"/>
      <c r="J386" s="1436"/>
      <c r="K386" s="1436" t="s">
        <v>272</v>
      </c>
      <c r="L386" s="1429" t="s">
        <v>273</v>
      </c>
      <c r="M386" s="1430" t="s">
        <v>274</v>
      </c>
      <c r="N386" s="1430" t="s">
        <v>275</v>
      </c>
      <c r="O386" s="1430" t="s">
        <v>276</v>
      </c>
      <c r="P386" s="1437" t="s">
        <v>277</v>
      </c>
      <c r="Q386" s="1437" t="s">
        <v>278</v>
      </c>
      <c r="R386" s="1438" t="s">
        <v>279</v>
      </c>
      <c r="S386" s="1471" t="s">
        <v>280</v>
      </c>
      <c r="T386" s="1471" t="s">
        <v>281</v>
      </c>
      <c r="U386" s="1471" t="s">
        <v>282</v>
      </c>
      <c r="V386" s="1378" t="s">
        <v>283</v>
      </c>
      <c r="W386" s="1378" t="s">
        <v>284</v>
      </c>
      <c r="X386" s="1378" t="s">
        <v>285</v>
      </c>
      <c r="Y386" s="1378" t="s">
        <v>286</v>
      </c>
      <c r="AB386" s="1474"/>
      <c r="AC386" s="1474"/>
      <c r="AH386" s="1548">
        <v>1</v>
      </c>
    </row>
    <row r="387" spans="1:34" ht="10.5" hidden="1" customHeight="1">
      <c r="A387" s="1523"/>
      <c r="B387" s="1525"/>
      <c r="C387" s="1523" t="s">
        <v>592</v>
      </c>
      <c r="D387" s="1475">
        <v>1250385.5</v>
      </c>
      <c r="E387" s="1533">
        <v>40329</v>
      </c>
      <c r="F387" s="1533">
        <v>40289</v>
      </c>
      <c r="G387" s="1523"/>
      <c r="H387" s="1523"/>
      <c r="I387" s="1523"/>
      <c r="J387" s="1523" t="s">
        <v>593</v>
      </c>
      <c r="K387" s="1523" t="s">
        <v>594</v>
      </c>
      <c r="L387" s="1428">
        <v>10000</v>
      </c>
      <c r="M387" s="1525"/>
      <c r="N387" s="1428"/>
      <c r="O387" s="1428">
        <f>16671.82-16671.82</f>
        <v>0</v>
      </c>
      <c r="P387" s="1522"/>
      <c r="Q387" s="1522"/>
      <c r="R387" s="1459"/>
      <c r="S387" s="1440"/>
      <c r="T387" s="1440"/>
      <c r="U387" s="1440"/>
      <c r="V387" s="1372"/>
      <c r="W387" s="1475">
        <f>1250385.5-1250385.5</f>
        <v>0</v>
      </c>
      <c r="X387" s="1372"/>
      <c r="Y387" s="1372"/>
      <c r="AB387" s="1422"/>
      <c r="AC387" s="1422"/>
      <c r="AG387" s="1519" t="e">
        <f>(N387*AH386)/AH385</f>
        <v>#DIV/0!</v>
      </c>
      <c r="AH387" s="1423" t="e">
        <f>AG385*AG387</f>
        <v>#DIV/0!</v>
      </c>
    </row>
    <row r="388" spans="1:34" ht="10.5" hidden="1" customHeight="1">
      <c r="A388" s="1523" t="s">
        <v>595</v>
      </c>
      <c r="B388" s="1525">
        <v>105</v>
      </c>
      <c r="C388" s="1523" t="s">
        <v>596</v>
      </c>
      <c r="D388" s="1475">
        <v>1000000</v>
      </c>
      <c r="E388" s="1533">
        <v>40329</v>
      </c>
      <c r="F388" s="1533">
        <v>40289</v>
      </c>
      <c r="G388" s="1523"/>
      <c r="H388" s="1523"/>
      <c r="I388" s="1523"/>
      <c r="J388" s="1523" t="s">
        <v>593</v>
      </c>
      <c r="K388" s="1523" t="s">
        <v>594</v>
      </c>
      <c r="L388" s="1428">
        <v>1700000</v>
      </c>
      <c r="M388" s="1525"/>
      <c r="N388" s="1428"/>
      <c r="O388" s="1428">
        <f>8781.44-8781.44</f>
        <v>0</v>
      </c>
      <c r="P388" s="1522"/>
      <c r="Q388" s="1522"/>
      <c r="R388" s="1459"/>
      <c r="S388" s="1440"/>
      <c r="T388" s="1440"/>
      <c r="U388" s="1440"/>
      <c r="V388" s="1372"/>
      <c r="W388" s="1475">
        <f>1000000-1000000</f>
        <v>0</v>
      </c>
      <c r="X388" s="1372"/>
      <c r="Y388" s="1372"/>
      <c r="AB388" s="1422"/>
      <c r="AC388" s="1422"/>
      <c r="AG388" s="1519" t="e">
        <f>(N388*AH386)/AH385</f>
        <v>#DIV/0!</v>
      </c>
      <c r="AH388" s="1423" t="e">
        <f>AG385*AG388</f>
        <v>#DIV/0!</v>
      </c>
    </row>
    <row r="389" spans="1:34" ht="10.5" hidden="1" customHeight="1">
      <c r="A389" s="1523" t="s">
        <v>597</v>
      </c>
      <c r="B389" s="1525">
        <v>98</v>
      </c>
      <c r="C389" s="1523" t="s">
        <v>598</v>
      </c>
      <c r="D389" s="1475">
        <v>512526</v>
      </c>
      <c r="E389" s="1533">
        <v>40329</v>
      </c>
      <c r="F389" s="1533">
        <v>40289</v>
      </c>
      <c r="G389" s="1523"/>
      <c r="H389" s="1523"/>
      <c r="I389" s="1523"/>
      <c r="J389" s="1523" t="s">
        <v>593</v>
      </c>
      <c r="K389" s="1523" t="s">
        <v>594</v>
      </c>
      <c r="L389" s="1428">
        <v>1702595.17</v>
      </c>
      <c r="M389" s="1525"/>
      <c r="N389" s="1428"/>
      <c r="O389" s="1428">
        <f>8542.4-8542.4</f>
        <v>0</v>
      </c>
      <c r="P389" s="1522"/>
      <c r="Q389" s="1522"/>
      <c r="R389" s="1459"/>
      <c r="S389" s="1440"/>
      <c r="T389" s="1440"/>
      <c r="U389" s="1440"/>
      <c r="V389" s="1372"/>
      <c r="W389" s="1475">
        <f>512526-512526</f>
        <v>0</v>
      </c>
      <c r="X389" s="1372"/>
      <c r="Y389" s="1372"/>
      <c r="AB389" s="1422"/>
      <c r="AC389" s="1422"/>
      <c r="AG389" s="1519" t="e">
        <f>(N389*AH386)/AH385</f>
        <v>#DIV/0!</v>
      </c>
      <c r="AH389" s="1423" t="e">
        <f>AG385*AG389</f>
        <v>#DIV/0!</v>
      </c>
    </row>
    <row r="390" spans="1:34" ht="10.5" hidden="1" customHeight="1">
      <c r="A390" s="1523" t="s">
        <v>599</v>
      </c>
      <c r="B390" s="1525"/>
      <c r="C390" s="1523" t="s">
        <v>600</v>
      </c>
      <c r="D390" s="1475">
        <v>890799</v>
      </c>
      <c r="E390" s="1533">
        <v>40329</v>
      </c>
      <c r="F390" s="1533">
        <v>40289</v>
      </c>
      <c r="G390" s="1523"/>
      <c r="H390" s="1523"/>
      <c r="I390" s="1523"/>
      <c r="J390" s="1523" t="s">
        <v>593</v>
      </c>
      <c r="K390" s="1523" t="s">
        <v>594</v>
      </c>
      <c r="L390" s="1428"/>
      <c r="M390" s="1525"/>
      <c r="N390" s="1428"/>
      <c r="O390" s="1428">
        <f>14846.65-14846.65</f>
        <v>0</v>
      </c>
      <c r="P390" s="1522"/>
      <c r="Q390" s="1522"/>
      <c r="R390" s="1459"/>
      <c r="S390" s="1440"/>
      <c r="T390" s="1440"/>
      <c r="U390" s="1440"/>
      <c r="V390" s="1372"/>
      <c r="W390" s="1475">
        <f>890799-890799</f>
        <v>0</v>
      </c>
      <c r="X390" s="1372"/>
      <c r="Y390" s="1372"/>
      <c r="AB390" s="1422"/>
      <c r="AC390" s="1422"/>
      <c r="AG390" s="1519"/>
      <c r="AH390" s="1423"/>
    </row>
    <row r="391" spans="1:34" ht="10.5" hidden="1" customHeight="1">
      <c r="A391" s="1523" t="s">
        <v>601</v>
      </c>
      <c r="B391" s="1525"/>
      <c r="C391" s="1523" t="s">
        <v>602</v>
      </c>
      <c r="D391" s="1475">
        <v>856584.3</v>
      </c>
      <c r="E391" s="1533">
        <v>40329</v>
      </c>
      <c r="F391" s="1533">
        <v>40289</v>
      </c>
      <c r="G391" s="1523"/>
      <c r="H391" s="1523"/>
      <c r="I391" s="1523"/>
      <c r="J391" s="1523" t="s">
        <v>593</v>
      </c>
      <c r="K391" s="1523" t="s">
        <v>594</v>
      </c>
      <c r="L391" s="1428"/>
      <c r="M391" s="1525"/>
      <c r="N391" s="1428"/>
      <c r="O391" s="1428">
        <f>13178.22-13178.22</f>
        <v>0</v>
      </c>
      <c r="P391" s="1522"/>
      <c r="Q391" s="1522"/>
      <c r="R391" s="1459"/>
      <c r="S391" s="1440"/>
      <c r="T391" s="1440"/>
      <c r="U391" s="1440"/>
      <c r="V391" s="1372"/>
      <c r="W391" s="1475">
        <f>856584.3-856584.3</f>
        <v>0</v>
      </c>
      <c r="X391" s="1372"/>
      <c r="Y391" s="1372"/>
      <c r="AB391" s="1422"/>
      <c r="AC391" s="1422"/>
      <c r="AG391" s="1519"/>
      <c r="AH391" s="1423"/>
    </row>
    <row r="392" spans="1:34" ht="10.5" customHeight="1">
      <c r="A392" s="1523"/>
      <c r="B392" s="1525"/>
      <c r="C392" s="1523"/>
      <c r="D392" s="1475"/>
      <c r="E392" s="1533"/>
      <c r="F392" s="1533"/>
      <c r="G392" s="1523"/>
      <c r="H392" s="1523"/>
      <c r="I392" s="1523"/>
      <c r="J392" s="1523"/>
      <c r="K392" s="1523"/>
      <c r="L392" s="1428"/>
      <c r="M392" s="1525"/>
      <c r="N392" s="1428"/>
      <c r="O392" s="1428"/>
      <c r="P392" s="1522"/>
      <c r="Q392" s="1522"/>
      <c r="R392" s="1459"/>
      <c r="S392" s="1440"/>
      <c r="T392" s="1440"/>
      <c r="U392" s="1440"/>
      <c r="V392" s="1372"/>
      <c r="W392" s="1372"/>
      <c r="X392" s="1372"/>
      <c r="Y392" s="1372"/>
      <c r="AB392" s="1422"/>
      <c r="AC392" s="1422"/>
      <c r="AG392" s="1519"/>
      <c r="AH392" s="1423"/>
    </row>
    <row r="393" spans="1:34" ht="10.5" customHeight="1">
      <c r="A393" s="1439"/>
      <c r="B393" s="1440"/>
      <c r="C393" s="1439"/>
      <c r="D393" s="1439"/>
      <c r="E393" s="1456"/>
      <c r="F393" s="1456"/>
      <c r="G393" s="1439"/>
      <c r="H393" s="1439"/>
      <c r="I393" s="1439"/>
      <c r="J393" s="1439"/>
      <c r="K393" s="1442"/>
      <c r="L393" s="1442"/>
      <c r="M393" s="1442"/>
      <c r="N393" s="1442"/>
      <c r="O393" s="1443"/>
      <c r="P393" s="1442"/>
      <c r="Q393" s="1442"/>
      <c r="R393" s="1358"/>
      <c r="S393" s="1444"/>
      <c r="T393" s="1445"/>
      <c r="U393" s="1446"/>
      <c r="V393" s="1358"/>
      <c r="W393" s="1358">
        <f>+R393</f>
        <v>0</v>
      </c>
      <c r="X393" s="1358"/>
      <c r="Y393" s="1358"/>
      <c r="AB393" s="1422"/>
      <c r="AC393" s="1422"/>
    </row>
    <row r="394" spans="1:34" s="1416" customFormat="1" ht="10.5" customHeight="1">
      <c r="A394" s="1458"/>
      <c r="B394" s="1459"/>
      <c r="C394" s="1508" t="s">
        <v>606</v>
      </c>
      <c r="D394" s="1508"/>
      <c r="E394" s="1508"/>
      <c r="F394" s="1508"/>
      <c r="G394" s="1508"/>
      <c r="H394" s="1508"/>
      <c r="I394" s="1508"/>
      <c r="J394" s="1508"/>
      <c r="K394" s="1472" t="s">
        <v>98</v>
      </c>
      <c r="L394" s="1469">
        <f>SUM(L385:L393)</f>
        <v>3412595.17</v>
      </c>
      <c r="M394" s="1469">
        <f>SUM(M393:M393)</f>
        <v>0</v>
      </c>
      <c r="N394" s="1469">
        <f>SUM(N387:N393)</f>
        <v>0</v>
      </c>
      <c r="O394" s="1469">
        <f>SUM(O387:O393)</f>
        <v>0</v>
      </c>
      <c r="P394" s="1469">
        <f>SUM(P393:P393)</f>
        <v>0</v>
      </c>
      <c r="Q394" s="1469">
        <f>SUM(Q393:Q393)</f>
        <v>0</v>
      </c>
      <c r="R394" s="1469">
        <f>SUM(R393:R393)</f>
        <v>0</v>
      </c>
      <c r="S394" s="1439"/>
      <c r="T394" s="1439"/>
      <c r="U394" s="1439"/>
      <c r="V394" s="1371">
        <f>SUM(V387:V393)</f>
        <v>0</v>
      </c>
      <c r="W394" s="1371">
        <f>SUM(W387:W393)</f>
        <v>0</v>
      </c>
      <c r="X394" s="1371">
        <f>SUM(X387:X393)</f>
        <v>0</v>
      </c>
      <c r="Y394" s="1371"/>
      <c r="AB394" s="1474"/>
      <c r="AC394" s="1474"/>
    </row>
    <row r="395" spans="1:34" s="1416" customFormat="1" ht="10.5" customHeight="1">
      <c r="D395" s="1499">
        <f>SUM(D387:D394)</f>
        <v>4510294.8</v>
      </c>
      <c r="K395" s="1468" t="s">
        <v>365</v>
      </c>
      <c r="L395" s="1499">
        <f>L394</f>
        <v>3412595.17</v>
      </c>
      <c r="M395" s="1499">
        <f>M394</f>
        <v>0</v>
      </c>
      <c r="N395" s="1499">
        <f>SUM(N387:N393)</f>
        <v>0</v>
      </c>
      <c r="O395" s="1499">
        <f>O394</f>
        <v>0</v>
      </c>
      <c r="P395" s="1499"/>
      <c r="Q395" s="1499"/>
      <c r="R395" s="1499"/>
      <c r="S395" s="1499">
        <f>S394</f>
        <v>0</v>
      </c>
      <c r="T395" s="1499">
        <f>T394</f>
        <v>0</v>
      </c>
      <c r="U395" s="1499">
        <f>U394</f>
        <v>0</v>
      </c>
      <c r="V395" s="1499">
        <f>SUM(V386:V394)</f>
        <v>0</v>
      </c>
      <c r="W395" s="1499">
        <f>SUM(W386:W393)</f>
        <v>0</v>
      </c>
      <c r="X395" s="1499">
        <f>SUM(X386:X394)</f>
        <v>0</v>
      </c>
      <c r="Y395" s="1499">
        <f>SUM(Y386:Y394)</f>
        <v>0</v>
      </c>
      <c r="AB395" s="1474"/>
      <c r="AC395" s="1474"/>
    </row>
    <row r="396" spans="1:34" s="1416" customFormat="1" ht="10.5" customHeight="1">
      <c r="K396" s="1468"/>
      <c r="L396" s="1499"/>
      <c r="M396" s="1499"/>
      <c r="N396" s="1499"/>
      <c r="O396" s="1499"/>
      <c r="P396" s="1499"/>
      <c r="Q396" s="1499"/>
      <c r="R396" s="1499"/>
      <c r="S396" s="1499"/>
      <c r="T396" s="1499"/>
      <c r="U396" s="1499"/>
      <c r="V396" s="1499"/>
      <c r="W396" s="1499"/>
      <c r="X396" s="1499"/>
      <c r="Y396" s="1499"/>
      <c r="AB396" s="1474"/>
      <c r="AC396" s="1474"/>
    </row>
    <row r="397" spans="1:34">
      <c r="B397" s="1550"/>
      <c r="C397" s="1550"/>
    </row>
    <row r="398" spans="1:34">
      <c r="B398" s="1550"/>
      <c r="C398" s="1550"/>
      <c r="L398" s="1416" t="s">
        <v>607</v>
      </c>
      <c r="N398" s="1499">
        <f>N57+N91+N130+N156+N201+N217+N230+N295+N309+N319+N328+N337+N366+N381+N395</f>
        <v>1941202.503</v>
      </c>
      <c r="O398" s="1499">
        <f>O57+O91+O130+O156+O201+O217+O230+O295+O309+O319+O328+O337+O366+O381+O395</f>
        <v>20222198.539000001</v>
      </c>
      <c r="P398" s="1540"/>
      <c r="Q398" s="1499"/>
      <c r="R398" s="1540"/>
      <c r="V398" s="1540">
        <f>V57+V91+V130+V156+V201+V217+V230+V295+V309+V319+V328+V337+V366+V395</f>
        <v>124588771.79646</v>
      </c>
      <c r="W398" s="1540">
        <f>W57+W91+W130+W156+W201+W217+W230+W295+W309+W319+W328+W337+W366+W395+W381</f>
        <v>499064098.1803084</v>
      </c>
      <c r="X398" s="1540">
        <f>X57+X91+X130+X156+X201+X217+X230+X295+X309+X319+X328+X337+X366+X395</f>
        <v>21739943.880000003</v>
      </c>
      <c r="Y398" s="1540">
        <f>Y57+Y91+Y130+Y156+Y201+Y217+Y230+Y295+Y309+Y319+Y328+Y337+Y366+Y395</f>
        <v>133017475.75952047</v>
      </c>
    </row>
    <row r="399" spans="1:34">
      <c r="B399" s="1550"/>
      <c r="C399" s="1550"/>
    </row>
    <row r="400" spans="1:34">
      <c r="B400" s="1550"/>
      <c r="C400" s="1550"/>
    </row>
    <row r="401" spans="2:30">
      <c r="B401" s="1550"/>
      <c r="C401" s="1550"/>
      <c r="W401" s="1416" t="s">
        <v>607</v>
      </c>
      <c r="X401" s="1499">
        <f>SUM(V398:Y398)</f>
        <v>778410289.6162889</v>
      </c>
      <c r="Y401" s="1423"/>
      <c r="AD401" s="1374">
        <f>SUM(V398:Y398)</f>
        <v>778410289.6162889</v>
      </c>
    </row>
    <row r="402" spans="2:30">
      <c r="B402" s="1550"/>
      <c r="C402" s="1550"/>
    </row>
    <row r="403" spans="2:30">
      <c r="B403" s="1550"/>
      <c r="C403" s="1550"/>
    </row>
    <row r="404" spans="2:30">
      <c r="B404" s="1550"/>
      <c r="C404" s="1550"/>
    </row>
  </sheetData>
  <mergeCells count="103">
    <mergeCell ref="A4:O4"/>
    <mergeCell ref="K5:M5"/>
    <mergeCell ref="N5:O5"/>
    <mergeCell ref="V5:Y5"/>
    <mergeCell ref="A22:O22"/>
    <mergeCell ref="A49:O49"/>
    <mergeCell ref="K50:M50"/>
    <mergeCell ref="N50:O50"/>
    <mergeCell ref="V50:Y50"/>
    <mergeCell ref="A61:M61"/>
    <mergeCell ref="K62:M62"/>
    <mergeCell ref="N62:O62"/>
    <mergeCell ref="V62:Y62"/>
    <mergeCell ref="K23:M23"/>
    <mergeCell ref="N23:O23"/>
    <mergeCell ref="V23:Y23"/>
    <mergeCell ref="A27:O27"/>
    <mergeCell ref="K28:M28"/>
    <mergeCell ref="N28:O28"/>
    <mergeCell ref="V28:Y28"/>
    <mergeCell ref="A80:O80"/>
    <mergeCell ref="K81:M81"/>
    <mergeCell ref="N81:O81"/>
    <mergeCell ref="V81:Y81"/>
    <mergeCell ref="A86:O86"/>
    <mergeCell ref="K87:M87"/>
    <mergeCell ref="N87:O87"/>
    <mergeCell ref="V87:Y87"/>
    <mergeCell ref="A67:O67"/>
    <mergeCell ref="K68:M68"/>
    <mergeCell ref="N68:O68"/>
    <mergeCell ref="V68:Y68"/>
    <mergeCell ref="A74:O74"/>
    <mergeCell ref="K75:M75"/>
    <mergeCell ref="N75:O75"/>
    <mergeCell ref="V75:Y75"/>
    <mergeCell ref="K135:M135"/>
    <mergeCell ref="N135:O135"/>
    <mergeCell ref="V135:Y135"/>
    <mergeCell ref="A161:O161"/>
    <mergeCell ref="K162:M162"/>
    <mergeCell ref="N162:O162"/>
    <mergeCell ref="V162:Y162"/>
    <mergeCell ref="A95:O95"/>
    <mergeCell ref="A96:C96"/>
    <mergeCell ref="K96:M96"/>
    <mergeCell ref="N96:O96"/>
    <mergeCell ref="V96:Y96"/>
    <mergeCell ref="A134:O134"/>
    <mergeCell ref="A220:O220"/>
    <mergeCell ref="K221:M221"/>
    <mergeCell ref="N221:O221"/>
    <mergeCell ref="V221:Y221"/>
    <mergeCell ref="A236:O236"/>
    <mergeCell ref="K237:M237"/>
    <mergeCell ref="N237:O237"/>
    <mergeCell ref="V237:Y237"/>
    <mergeCell ref="A193:O193"/>
    <mergeCell ref="K194:M194"/>
    <mergeCell ref="N194:O194"/>
    <mergeCell ref="V194:Y194"/>
    <mergeCell ref="A206:O206"/>
    <mergeCell ref="K207:M207"/>
    <mergeCell ref="N207:O207"/>
    <mergeCell ref="V207:Y207"/>
    <mergeCell ref="N314:O314"/>
    <mergeCell ref="V314:Y314"/>
    <mergeCell ref="A323:O323"/>
    <mergeCell ref="K324:M324"/>
    <mergeCell ref="N324:O324"/>
    <mergeCell ref="V324:Y324"/>
    <mergeCell ref="A282:O282"/>
    <mergeCell ref="K283:M283"/>
    <mergeCell ref="N283:O283"/>
    <mergeCell ref="V283:Y283"/>
    <mergeCell ref="A302:O302"/>
    <mergeCell ref="K303:M303"/>
    <mergeCell ref="N303:O303"/>
    <mergeCell ref="V303:Y303"/>
    <mergeCell ref="A384:O384"/>
    <mergeCell ref="K385:M385"/>
    <mergeCell ref="N385:O385"/>
    <mergeCell ref="V385:Y385"/>
    <mergeCell ref="A1:Y1"/>
    <mergeCell ref="A2:Y2"/>
    <mergeCell ref="A356:O356"/>
    <mergeCell ref="K357:M357"/>
    <mergeCell ref="N357:O357"/>
    <mergeCell ref="V357:Y357"/>
    <mergeCell ref="A370:O370"/>
    <mergeCell ref="K371:M371"/>
    <mergeCell ref="N371:O371"/>
    <mergeCell ref="V371:Y371"/>
    <mergeCell ref="A332:O332"/>
    <mergeCell ref="K333:M333"/>
    <mergeCell ref="N333:O333"/>
    <mergeCell ref="V333:Y333"/>
    <mergeCell ref="A341:O341"/>
    <mergeCell ref="K342:M342"/>
    <mergeCell ref="N342:O342"/>
    <mergeCell ref="V342:Y342"/>
    <mergeCell ref="A313:O313"/>
    <mergeCell ref="K314:M314"/>
  </mergeCells>
  <hyperlinks>
    <hyperlink ref="AB223" r:id="rId1" location="DEFINITIVO!K74" xr:uid="{AEC2931B-F341-47D8-84BB-ED83FAF1304B}"/>
  </hyperlinks>
  <pageMargins left="0.7" right="0.7" top="0.75" bottom="0.75" header="0.3" footer="0.3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A3:S472"/>
  <sheetViews>
    <sheetView topLeftCell="A49" workbookViewId="0">
      <selection activeCell="M56" sqref="M56"/>
    </sheetView>
  </sheetViews>
  <sheetFormatPr baseColWidth="10" defaultRowHeight="12.75"/>
  <cols>
    <col min="1" max="1" width="18.28515625" customWidth="1"/>
    <col min="2" max="2" width="29.140625" customWidth="1"/>
    <col min="3" max="3" width="25.85546875" customWidth="1"/>
    <col min="4" max="4" width="27.5703125" customWidth="1"/>
    <col min="5" max="5" width="24.140625" customWidth="1"/>
    <col min="6" max="6" width="24" customWidth="1"/>
    <col min="7" max="7" width="13.5703125" customWidth="1"/>
    <col min="8" max="8" width="12.85546875" customWidth="1"/>
    <col min="11" max="11" width="60.28515625" customWidth="1"/>
    <col min="12" max="12" width="16.28515625" customWidth="1"/>
    <col min="13" max="13" width="14" customWidth="1"/>
    <col min="14" max="14" width="12.85546875" bestFit="1" customWidth="1"/>
    <col min="16" max="16" width="74" customWidth="1"/>
    <col min="17" max="17" width="13.42578125" customWidth="1"/>
    <col min="18" max="18" width="18" customWidth="1"/>
    <col min="19" max="19" width="20.85546875" customWidth="1"/>
    <col min="222" max="222" width="18.28515625" customWidth="1"/>
    <col min="223" max="223" width="29.140625" customWidth="1"/>
    <col min="224" max="224" width="25.85546875" customWidth="1"/>
    <col min="225" max="225" width="27.5703125" customWidth="1"/>
    <col min="226" max="226" width="23.28515625" customWidth="1"/>
    <col min="227" max="227" width="22.5703125" customWidth="1"/>
    <col min="228" max="228" width="13.5703125" customWidth="1"/>
    <col min="229" max="229" width="12.85546875" customWidth="1"/>
    <col min="232" max="232" width="40.42578125" customWidth="1"/>
    <col min="233" max="233" width="13.7109375" customWidth="1"/>
    <col min="234" max="234" width="14" customWidth="1"/>
    <col min="235" max="235" width="12.85546875" bestFit="1" customWidth="1"/>
    <col min="478" max="478" width="18.28515625" customWidth="1"/>
    <col min="479" max="479" width="29.140625" customWidth="1"/>
    <col min="480" max="480" width="25.85546875" customWidth="1"/>
    <col min="481" max="481" width="27.5703125" customWidth="1"/>
    <col min="482" max="482" width="23.28515625" customWidth="1"/>
    <col min="483" max="483" width="22.5703125" customWidth="1"/>
    <col min="484" max="484" width="13.5703125" customWidth="1"/>
    <col min="485" max="485" width="12.85546875" customWidth="1"/>
    <col min="488" max="488" width="40.42578125" customWidth="1"/>
    <col min="489" max="489" width="13.7109375" customWidth="1"/>
    <col min="490" max="490" width="14" customWidth="1"/>
    <col min="491" max="491" width="12.85546875" bestFit="1" customWidth="1"/>
    <col min="734" max="734" width="18.28515625" customWidth="1"/>
    <col min="735" max="735" width="29.140625" customWidth="1"/>
    <col min="736" max="736" width="25.85546875" customWidth="1"/>
    <col min="737" max="737" width="27.5703125" customWidth="1"/>
    <col min="738" max="738" width="23.28515625" customWidth="1"/>
    <col min="739" max="739" width="22.5703125" customWidth="1"/>
    <col min="740" max="740" width="13.5703125" customWidth="1"/>
    <col min="741" max="741" width="12.85546875" customWidth="1"/>
    <col min="744" max="744" width="40.42578125" customWidth="1"/>
    <col min="745" max="745" width="13.7109375" customWidth="1"/>
    <col min="746" max="746" width="14" customWidth="1"/>
    <col min="747" max="747" width="12.85546875" bestFit="1" customWidth="1"/>
    <col min="990" max="990" width="18.28515625" customWidth="1"/>
    <col min="991" max="991" width="29.140625" customWidth="1"/>
    <col min="992" max="992" width="25.85546875" customWidth="1"/>
    <col min="993" max="993" width="27.5703125" customWidth="1"/>
    <col min="994" max="994" width="23.28515625" customWidth="1"/>
    <col min="995" max="995" width="22.5703125" customWidth="1"/>
    <col min="996" max="996" width="13.5703125" customWidth="1"/>
    <col min="997" max="997" width="12.85546875" customWidth="1"/>
    <col min="1000" max="1000" width="40.42578125" customWidth="1"/>
    <col min="1001" max="1001" width="13.7109375" customWidth="1"/>
    <col min="1002" max="1002" width="14" customWidth="1"/>
    <col min="1003" max="1003" width="12.85546875" bestFit="1" customWidth="1"/>
    <col min="1246" max="1246" width="18.28515625" customWidth="1"/>
    <col min="1247" max="1247" width="29.140625" customWidth="1"/>
    <col min="1248" max="1248" width="25.85546875" customWidth="1"/>
    <col min="1249" max="1249" width="27.5703125" customWidth="1"/>
    <col min="1250" max="1250" width="23.28515625" customWidth="1"/>
    <col min="1251" max="1251" width="22.5703125" customWidth="1"/>
    <col min="1252" max="1252" width="13.5703125" customWidth="1"/>
    <col min="1253" max="1253" width="12.85546875" customWidth="1"/>
    <col min="1256" max="1256" width="40.42578125" customWidth="1"/>
    <col min="1257" max="1257" width="13.7109375" customWidth="1"/>
    <col min="1258" max="1258" width="14" customWidth="1"/>
    <col min="1259" max="1259" width="12.85546875" bestFit="1" customWidth="1"/>
    <col min="1502" max="1502" width="18.28515625" customWidth="1"/>
    <col min="1503" max="1503" width="29.140625" customWidth="1"/>
    <col min="1504" max="1504" width="25.85546875" customWidth="1"/>
    <col min="1505" max="1505" width="27.5703125" customWidth="1"/>
    <col min="1506" max="1506" width="23.28515625" customWidth="1"/>
    <col min="1507" max="1507" width="22.5703125" customWidth="1"/>
    <col min="1508" max="1508" width="13.5703125" customWidth="1"/>
    <col min="1509" max="1509" width="12.85546875" customWidth="1"/>
    <col min="1512" max="1512" width="40.42578125" customWidth="1"/>
    <col min="1513" max="1513" width="13.7109375" customWidth="1"/>
    <col min="1514" max="1514" width="14" customWidth="1"/>
    <col min="1515" max="1515" width="12.85546875" bestFit="1" customWidth="1"/>
    <col min="1758" max="1758" width="18.28515625" customWidth="1"/>
    <col min="1759" max="1759" width="29.140625" customWidth="1"/>
    <col min="1760" max="1760" width="25.85546875" customWidth="1"/>
    <col min="1761" max="1761" width="27.5703125" customWidth="1"/>
    <col min="1762" max="1762" width="23.28515625" customWidth="1"/>
    <col min="1763" max="1763" width="22.5703125" customWidth="1"/>
    <col min="1764" max="1764" width="13.5703125" customWidth="1"/>
    <col min="1765" max="1765" width="12.85546875" customWidth="1"/>
    <col min="1768" max="1768" width="40.42578125" customWidth="1"/>
    <col min="1769" max="1769" width="13.7109375" customWidth="1"/>
    <col min="1770" max="1770" width="14" customWidth="1"/>
    <col min="1771" max="1771" width="12.85546875" bestFit="1" customWidth="1"/>
    <col min="2014" max="2014" width="18.28515625" customWidth="1"/>
    <col min="2015" max="2015" width="29.140625" customWidth="1"/>
    <col min="2016" max="2016" width="25.85546875" customWidth="1"/>
    <col min="2017" max="2017" width="27.5703125" customWidth="1"/>
    <col min="2018" max="2018" width="23.28515625" customWidth="1"/>
    <col min="2019" max="2019" width="22.5703125" customWidth="1"/>
    <col min="2020" max="2020" width="13.5703125" customWidth="1"/>
    <col min="2021" max="2021" width="12.85546875" customWidth="1"/>
    <col min="2024" max="2024" width="40.42578125" customWidth="1"/>
    <col min="2025" max="2025" width="13.7109375" customWidth="1"/>
    <col min="2026" max="2026" width="14" customWidth="1"/>
    <col min="2027" max="2027" width="12.85546875" bestFit="1" customWidth="1"/>
    <col min="2270" max="2270" width="18.28515625" customWidth="1"/>
    <col min="2271" max="2271" width="29.140625" customWidth="1"/>
    <col min="2272" max="2272" width="25.85546875" customWidth="1"/>
    <col min="2273" max="2273" width="27.5703125" customWidth="1"/>
    <col min="2274" max="2274" width="23.28515625" customWidth="1"/>
    <col min="2275" max="2275" width="22.5703125" customWidth="1"/>
    <col min="2276" max="2276" width="13.5703125" customWidth="1"/>
    <col min="2277" max="2277" width="12.85546875" customWidth="1"/>
    <col min="2280" max="2280" width="40.42578125" customWidth="1"/>
    <col min="2281" max="2281" width="13.7109375" customWidth="1"/>
    <col min="2282" max="2282" width="14" customWidth="1"/>
    <col min="2283" max="2283" width="12.85546875" bestFit="1" customWidth="1"/>
    <col min="2526" max="2526" width="18.28515625" customWidth="1"/>
    <col min="2527" max="2527" width="29.140625" customWidth="1"/>
    <col min="2528" max="2528" width="25.85546875" customWidth="1"/>
    <col min="2529" max="2529" width="27.5703125" customWidth="1"/>
    <col min="2530" max="2530" width="23.28515625" customWidth="1"/>
    <col min="2531" max="2531" width="22.5703125" customWidth="1"/>
    <col min="2532" max="2532" width="13.5703125" customWidth="1"/>
    <col min="2533" max="2533" width="12.85546875" customWidth="1"/>
    <col min="2536" max="2536" width="40.42578125" customWidth="1"/>
    <col min="2537" max="2537" width="13.7109375" customWidth="1"/>
    <col min="2538" max="2538" width="14" customWidth="1"/>
    <col min="2539" max="2539" width="12.85546875" bestFit="1" customWidth="1"/>
    <col min="2782" max="2782" width="18.28515625" customWidth="1"/>
    <col min="2783" max="2783" width="29.140625" customWidth="1"/>
    <col min="2784" max="2784" width="25.85546875" customWidth="1"/>
    <col min="2785" max="2785" width="27.5703125" customWidth="1"/>
    <col min="2786" max="2786" width="23.28515625" customWidth="1"/>
    <col min="2787" max="2787" width="22.5703125" customWidth="1"/>
    <col min="2788" max="2788" width="13.5703125" customWidth="1"/>
    <col min="2789" max="2789" width="12.85546875" customWidth="1"/>
    <col min="2792" max="2792" width="40.42578125" customWidth="1"/>
    <col min="2793" max="2793" width="13.7109375" customWidth="1"/>
    <col min="2794" max="2794" width="14" customWidth="1"/>
    <col min="2795" max="2795" width="12.85546875" bestFit="1" customWidth="1"/>
    <col min="3038" max="3038" width="18.28515625" customWidth="1"/>
    <col min="3039" max="3039" width="29.140625" customWidth="1"/>
    <col min="3040" max="3040" width="25.85546875" customWidth="1"/>
    <col min="3041" max="3041" width="27.5703125" customWidth="1"/>
    <col min="3042" max="3042" width="23.28515625" customWidth="1"/>
    <col min="3043" max="3043" width="22.5703125" customWidth="1"/>
    <col min="3044" max="3044" width="13.5703125" customWidth="1"/>
    <col min="3045" max="3045" width="12.85546875" customWidth="1"/>
    <col min="3048" max="3048" width="40.42578125" customWidth="1"/>
    <col min="3049" max="3049" width="13.7109375" customWidth="1"/>
    <col min="3050" max="3050" width="14" customWidth="1"/>
    <col min="3051" max="3051" width="12.85546875" bestFit="1" customWidth="1"/>
    <col min="3294" max="3294" width="18.28515625" customWidth="1"/>
    <col min="3295" max="3295" width="29.140625" customWidth="1"/>
    <col min="3296" max="3296" width="25.85546875" customWidth="1"/>
    <col min="3297" max="3297" width="27.5703125" customWidth="1"/>
    <col min="3298" max="3298" width="23.28515625" customWidth="1"/>
    <col min="3299" max="3299" width="22.5703125" customWidth="1"/>
    <col min="3300" max="3300" width="13.5703125" customWidth="1"/>
    <col min="3301" max="3301" width="12.85546875" customWidth="1"/>
    <col min="3304" max="3304" width="40.42578125" customWidth="1"/>
    <col min="3305" max="3305" width="13.7109375" customWidth="1"/>
    <col min="3306" max="3306" width="14" customWidth="1"/>
    <col min="3307" max="3307" width="12.85546875" bestFit="1" customWidth="1"/>
    <col min="3550" max="3550" width="18.28515625" customWidth="1"/>
    <col min="3551" max="3551" width="29.140625" customWidth="1"/>
    <col min="3552" max="3552" width="25.85546875" customWidth="1"/>
    <col min="3553" max="3553" width="27.5703125" customWidth="1"/>
    <col min="3554" max="3554" width="23.28515625" customWidth="1"/>
    <col min="3555" max="3555" width="22.5703125" customWidth="1"/>
    <col min="3556" max="3556" width="13.5703125" customWidth="1"/>
    <col min="3557" max="3557" width="12.85546875" customWidth="1"/>
    <col min="3560" max="3560" width="40.42578125" customWidth="1"/>
    <col min="3561" max="3561" width="13.7109375" customWidth="1"/>
    <col min="3562" max="3562" width="14" customWidth="1"/>
    <col min="3563" max="3563" width="12.85546875" bestFit="1" customWidth="1"/>
    <col min="3806" max="3806" width="18.28515625" customWidth="1"/>
    <col min="3807" max="3807" width="29.140625" customWidth="1"/>
    <col min="3808" max="3808" width="25.85546875" customWidth="1"/>
    <col min="3809" max="3809" width="27.5703125" customWidth="1"/>
    <col min="3810" max="3810" width="23.28515625" customWidth="1"/>
    <col min="3811" max="3811" width="22.5703125" customWidth="1"/>
    <col min="3812" max="3812" width="13.5703125" customWidth="1"/>
    <col min="3813" max="3813" width="12.85546875" customWidth="1"/>
    <col min="3816" max="3816" width="40.42578125" customWidth="1"/>
    <col min="3817" max="3817" width="13.7109375" customWidth="1"/>
    <col min="3818" max="3818" width="14" customWidth="1"/>
    <col min="3819" max="3819" width="12.85546875" bestFit="1" customWidth="1"/>
    <col min="4062" max="4062" width="18.28515625" customWidth="1"/>
    <col min="4063" max="4063" width="29.140625" customWidth="1"/>
    <col min="4064" max="4064" width="25.85546875" customWidth="1"/>
    <col min="4065" max="4065" width="27.5703125" customWidth="1"/>
    <col min="4066" max="4066" width="23.28515625" customWidth="1"/>
    <col min="4067" max="4067" width="22.5703125" customWidth="1"/>
    <col min="4068" max="4068" width="13.5703125" customWidth="1"/>
    <col min="4069" max="4069" width="12.85546875" customWidth="1"/>
    <col min="4072" max="4072" width="40.42578125" customWidth="1"/>
    <col min="4073" max="4073" width="13.7109375" customWidth="1"/>
    <col min="4074" max="4074" width="14" customWidth="1"/>
    <col min="4075" max="4075" width="12.85546875" bestFit="1" customWidth="1"/>
    <col min="4318" max="4318" width="18.28515625" customWidth="1"/>
    <col min="4319" max="4319" width="29.140625" customWidth="1"/>
    <col min="4320" max="4320" width="25.85546875" customWidth="1"/>
    <col min="4321" max="4321" width="27.5703125" customWidth="1"/>
    <col min="4322" max="4322" width="23.28515625" customWidth="1"/>
    <col min="4323" max="4323" width="22.5703125" customWidth="1"/>
    <col min="4324" max="4324" width="13.5703125" customWidth="1"/>
    <col min="4325" max="4325" width="12.85546875" customWidth="1"/>
    <col min="4328" max="4328" width="40.42578125" customWidth="1"/>
    <col min="4329" max="4329" width="13.7109375" customWidth="1"/>
    <col min="4330" max="4330" width="14" customWidth="1"/>
    <col min="4331" max="4331" width="12.85546875" bestFit="1" customWidth="1"/>
    <col min="4574" max="4574" width="18.28515625" customWidth="1"/>
    <col min="4575" max="4575" width="29.140625" customWidth="1"/>
    <col min="4576" max="4576" width="25.85546875" customWidth="1"/>
    <col min="4577" max="4577" width="27.5703125" customWidth="1"/>
    <col min="4578" max="4578" width="23.28515625" customWidth="1"/>
    <col min="4579" max="4579" width="22.5703125" customWidth="1"/>
    <col min="4580" max="4580" width="13.5703125" customWidth="1"/>
    <col min="4581" max="4581" width="12.85546875" customWidth="1"/>
    <col min="4584" max="4584" width="40.42578125" customWidth="1"/>
    <col min="4585" max="4585" width="13.7109375" customWidth="1"/>
    <col min="4586" max="4586" width="14" customWidth="1"/>
    <col min="4587" max="4587" width="12.85546875" bestFit="1" customWidth="1"/>
    <col min="4830" max="4830" width="18.28515625" customWidth="1"/>
    <col min="4831" max="4831" width="29.140625" customWidth="1"/>
    <col min="4832" max="4832" width="25.85546875" customWidth="1"/>
    <col min="4833" max="4833" width="27.5703125" customWidth="1"/>
    <col min="4834" max="4834" width="23.28515625" customWidth="1"/>
    <col min="4835" max="4835" width="22.5703125" customWidth="1"/>
    <col min="4836" max="4836" width="13.5703125" customWidth="1"/>
    <col min="4837" max="4837" width="12.85546875" customWidth="1"/>
    <col min="4840" max="4840" width="40.42578125" customWidth="1"/>
    <col min="4841" max="4841" width="13.7109375" customWidth="1"/>
    <col min="4842" max="4842" width="14" customWidth="1"/>
    <col min="4843" max="4843" width="12.85546875" bestFit="1" customWidth="1"/>
    <col min="5086" max="5086" width="18.28515625" customWidth="1"/>
    <col min="5087" max="5087" width="29.140625" customWidth="1"/>
    <col min="5088" max="5088" width="25.85546875" customWidth="1"/>
    <col min="5089" max="5089" width="27.5703125" customWidth="1"/>
    <col min="5090" max="5090" width="23.28515625" customWidth="1"/>
    <col min="5091" max="5091" width="22.5703125" customWidth="1"/>
    <col min="5092" max="5092" width="13.5703125" customWidth="1"/>
    <col min="5093" max="5093" width="12.85546875" customWidth="1"/>
    <col min="5096" max="5096" width="40.42578125" customWidth="1"/>
    <col min="5097" max="5097" width="13.7109375" customWidth="1"/>
    <col min="5098" max="5098" width="14" customWidth="1"/>
    <col min="5099" max="5099" width="12.85546875" bestFit="1" customWidth="1"/>
    <col min="5342" max="5342" width="18.28515625" customWidth="1"/>
    <col min="5343" max="5343" width="29.140625" customWidth="1"/>
    <col min="5344" max="5344" width="25.85546875" customWidth="1"/>
    <col min="5345" max="5345" width="27.5703125" customWidth="1"/>
    <col min="5346" max="5346" width="23.28515625" customWidth="1"/>
    <col min="5347" max="5347" width="22.5703125" customWidth="1"/>
    <col min="5348" max="5348" width="13.5703125" customWidth="1"/>
    <col min="5349" max="5349" width="12.85546875" customWidth="1"/>
    <col min="5352" max="5352" width="40.42578125" customWidth="1"/>
    <col min="5353" max="5353" width="13.7109375" customWidth="1"/>
    <col min="5354" max="5354" width="14" customWidth="1"/>
    <col min="5355" max="5355" width="12.85546875" bestFit="1" customWidth="1"/>
    <col min="5598" max="5598" width="18.28515625" customWidth="1"/>
    <col min="5599" max="5599" width="29.140625" customWidth="1"/>
    <col min="5600" max="5600" width="25.85546875" customWidth="1"/>
    <col min="5601" max="5601" width="27.5703125" customWidth="1"/>
    <col min="5602" max="5602" width="23.28515625" customWidth="1"/>
    <col min="5603" max="5603" width="22.5703125" customWidth="1"/>
    <col min="5604" max="5604" width="13.5703125" customWidth="1"/>
    <col min="5605" max="5605" width="12.85546875" customWidth="1"/>
    <col min="5608" max="5608" width="40.42578125" customWidth="1"/>
    <col min="5609" max="5609" width="13.7109375" customWidth="1"/>
    <col min="5610" max="5610" width="14" customWidth="1"/>
    <col min="5611" max="5611" width="12.85546875" bestFit="1" customWidth="1"/>
    <col min="5854" max="5854" width="18.28515625" customWidth="1"/>
    <col min="5855" max="5855" width="29.140625" customWidth="1"/>
    <col min="5856" max="5856" width="25.85546875" customWidth="1"/>
    <col min="5857" max="5857" width="27.5703125" customWidth="1"/>
    <col min="5858" max="5858" width="23.28515625" customWidth="1"/>
    <col min="5859" max="5859" width="22.5703125" customWidth="1"/>
    <col min="5860" max="5860" width="13.5703125" customWidth="1"/>
    <col min="5861" max="5861" width="12.85546875" customWidth="1"/>
    <col min="5864" max="5864" width="40.42578125" customWidth="1"/>
    <col min="5865" max="5865" width="13.7109375" customWidth="1"/>
    <col min="5866" max="5866" width="14" customWidth="1"/>
    <col min="5867" max="5867" width="12.85546875" bestFit="1" customWidth="1"/>
    <col min="6110" max="6110" width="18.28515625" customWidth="1"/>
    <col min="6111" max="6111" width="29.140625" customWidth="1"/>
    <col min="6112" max="6112" width="25.85546875" customWidth="1"/>
    <col min="6113" max="6113" width="27.5703125" customWidth="1"/>
    <col min="6114" max="6114" width="23.28515625" customWidth="1"/>
    <col min="6115" max="6115" width="22.5703125" customWidth="1"/>
    <col min="6116" max="6116" width="13.5703125" customWidth="1"/>
    <col min="6117" max="6117" width="12.85546875" customWidth="1"/>
    <col min="6120" max="6120" width="40.42578125" customWidth="1"/>
    <col min="6121" max="6121" width="13.7109375" customWidth="1"/>
    <col min="6122" max="6122" width="14" customWidth="1"/>
    <col min="6123" max="6123" width="12.85546875" bestFit="1" customWidth="1"/>
    <col min="6366" max="6366" width="18.28515625" customWidth="1"/>
    <col min="6367" max="6367" width="29.140625" customWidth="1"/>
    <col min="6368" max="6368" width="25.85546875" customWidth="1"/>
    <col min="6369" max="6369" width="27.5703125" customWidth="1"/>
    <col min="6370" max="6370" width="23.28515625" customWidth="1"/>
    <col min="6371" max="6371" width="22.5703125" customWidth="1"/>
    <col min="6372" max="6372" width="13.5703125" customWidth="1"/>
    <col min="6373" max="6373" width="12.85546875" customWidth="1"/>
    <col min="6376" max="6376" width="40.42578125" customWidth="1"/>
    <col min="6377" max="6377" width="13.7109375" customWidth="1"/>
    <col min="6378" max="6378" width="14" customWidth="1"/>
    <col min="6379" max="6379" width="12.85546875" bestFit="1" customWidth="1"/>
    <col min="6622" max="6622" width="18.28515625" customWidth="1"/>
    <col min="6623" max="6623" width="29.140625" customWidth="1"/>
    <col min="6624" max="6624" width="25.85546875" customWidth="1"/>
    <col min="6625" max="6625" width="27.5703125" customWidth="1"/>
    <col min="6626" max="6626" width="23.28515625" customWidth="1"/>
    <col min="6627" max="6627" width="22.5703125" customWidth="1"/>
    <col min="6628" max="6628" width="13.5703125" customWidth="1"/>
    <col min="6629" max="6629" width="12.85546875" customWidth="1"/>
    <col min="6632" max="6632" width="40.42578125" customWidth="1"/>
    <col min="6633" max="6633" width="13.7109375" customWidth="1"/>
    <col min="6634" max="6634" width="14" customWidth="1"/>
    <col min="6635" max="6635" width="12.85546875" bestFit="1" customWidth="1"/>
    <col min="6878" max="6878" width="18.28515625" customWidth="1"/>
    <col min="6879" max="6879" width="29.140625" customWidth="1"/>
    <col min="6880" max="6880" width="25.85546875" customWidth="1"/>
    <col min="6881" max="6881" width="27.5703125" customWidth="1"/>
    <col min="6882" max="6882" width="23.28515625" customWidth="1"/>
    <col min="6883" max="6883" width="22.5703125" customWidth="1"/>
    <col min="6884" max="6884" width="13.5703125" customWidth="1"/>
    <col min="6885" max="6885" width="12.85546875" customWidth="1"/>
    <col min="6888" max="6888" width="40.42578125" customWidth="1"/>
    <col min="6889" max="6889" width="13.7109375" customWidth="1"/>
    <col min="6890" max="6890" width="14" customWidth="1"/>
    <col min="6891" max="6891" width="12.85546875" bestFit="1" customWidth="1"/>
    <col min="7134" max="7134" width="18.28515625" customWidth="1"/>
    <col min="7135" max="7135" width="29.140625" customWidth="1"/>
    <col min="7136" max="7136" width="25.85546875" customWidth="1"/>
    <col min="7137" max="7137" width="27.5703125" customWidth="1"/>
    <col min="7138" max="7138" width="23.28515625" customWidth="1"/>
    <col min="7139" max="7139" width="22.5703125" customWidth="1"/>
    <col min="7140" max="7140" width="13.5703125" customWidth="1"/>
    <col min="7141" max="7141" width="12.85546875" customWidth="1"/>
    <col min="7144" max="7144" width="40.42578125" customWidth="1"/>
    <col min="7145" max="7145" width="13.7109375" customWidth="1"/>
    <col min="7146" max="7146" width="14" customWidth="1"/>
    <col min="7147" max="7147" width="12.85546875" bestFit="1" customWidth="1"/>
    <col min="7390" max="7390" width="18.28515625" customWidth="1"/>
    <col min="7391" max="7391" width="29.140625" customWidth="1"/>
    <col min="7392" max="7392" width="25.85546875" customWidth="1"/>
    <col min="7393" max="7393" width="27.5703125" customWidth="1"/>
    <col min="7394" max="7394" width="23.28515625" customWidth="1"/>
    <col min="7395" max="7395" width="22.5703125" customWidth="1"/>
    <col min="7396" max="7396" width="13.5703125" customWidth="1"/>
    <col min="7397" max="7397" width="12.85546875" customWidth="1"/>
    <col min="7400" max="7400" width="40.42578125" customWidth="1"/>
    <col min="7401" max="7401" width="13.7109375" customWidth="1"/>
    <col min="7402" max="7402" width="14" customWidth="1"/>
    <col min="7403" max="7403" width="12.85546875" bestFit="1" customWidth="1"/>
    <col min="7646" max="7646" width="18.28515625" customWidth="1"/>
    <col min="7647" max="7647" width="29.140625" customWidth="1"/>
    <col min="7648" max="7648" width="25.85546875" customWidth="1"/>
    <col min="7649" max="7649" width="27.5703125" customWidth="1"/>
    <col min="7650" max="7650" width="23.28515625" customWidth="1"/>
    <col min="7651" max="7651" width="22.5703125" customWidth="1"/>
    <col min="7652" max="7652" width="13.5703125" customWidth="1"/>
    <col min="7653" max="7653" width="12.85546875" customWidth="1"/>
    <col min="7656" max="7656" width="40.42578125" customWidth="1"/>
    <col min="7657" max="7657" width="13.7109375" customWidth="1"/>
    <col min="7658" max="7658" width="14" customWidth="1"/>
    <col min="7659" max="7659" width="12.85546875" bestFit="1" customWidth="1"/>
    <col min="7902" max="7902" width="18.28515625" customWidth="1"/>
    <col min="7903" max="7903" width="29.140625" customWidth="1"/>
    <col min="7904" max="7904" width="25.85546875" customWidth="1"/>
    <col min="7905" max="7905" width="27.5703125" customWidth="1"/>
    <col min="7906" max="7906" width="23.28515625" customWidth="1"/>
    <col min="7907" max="7907" width="22.5703125" customWidth="1"/>
    <col min="7908" max="7908" width="13.5703125" customWidth="1"/>
    <col min="7909" max="7909" width="12.85546875" customWidth="1"/>
    <col min="7912" max="7912" width="40.42578125" customWidth="1"/>
    <col min="7913" max="7913" width="13.7109375" customWidth="1"/>
    <col min="7914" max="7914" width="14" customWidth="1"/>
    <col min="7915" max="7915" width="12.85546875" bestFit="1" customWidth="1"/>
    <col min="8158" max="8158" width="18.28515625" customWidth="1"/>
    <col min="8159" max="8159" width="29.140625" customWidth="1"/>
    <col min="8160" max="8160" width="25.85546875" customWidth="1"/>
    <col min="8161" max="8161" width="27.5703125" customWidth="1"/>
    <col min="8162" max="8162" width="23.28515625" customWidth="1"/>
    <col min="8163" max="8163" width="22.5703125" customWidth="1"/>
    <col min="8164" max="8164" width="13.5703125" customWidth="1"/>
    <col min="8165" max="8165" width="12.85546875" customWidth="1"/>
    <col min="8168" max="8168" width="40.42578125" customWidth="1"/>
    <col min="8169" max="8169" width="13.7109375" customWidth="1"/>
    <col min="8170" max="8170" width="14" customWidth="1"/>
    <col min="8171" max="8171" width="12.85546875" bestFit="1" customWidth="1"/>
    <col min="8414" max="8414" width="18.28515625" customWidth="1"/>
    <col min="8415" max="8415" width="29.140625" customWidth="1"/>
    <col min="8416" max="8416" width="25.85546875" customWidth="1"/>
    <col min="8417" max="8417" width="27.5703125" customWidth="1"/>
    <col min="8418" max="8418" width="23.28515625" customWidth="1"/>
    <col min="8419" max="8419" width="22.5703125" customWidth="1"/>
    <col min="8420" max="8420" width="13.5703125" customWidth="1"/>
    <col min="8421" max="8421" width="12.85546875" customWidth="1"/>
    <col min="8424" max="8424" width="40.42578125" customWidth="1"/>
    <col min="8425" max="8425" width="13.7109375" customWidth="1"/>
    <col min="8426" max="8426" width="14" customWidth="1"/>
    <col min="8427" max="8427" width="12.85546875" bestFit="1" customWidth="1"/>
    <col min="8670" max="8670" width="18.28515625" customWidth="1"/>
    <col min="8671" max="8671" width="29.140625" customWidth="1"/>
    <col min="8672" max="8672" width="25.85546875" customWidth="1"/>
    <col min="8673" max="8673" width="27.5703125" customWidth="1"/>
    <col min="8674" max="8674" width="23.28515625" customWidth="1"/>
    <col min="8675" max="8675" width="22.5703125" customWidth="1"/>
    <col min="8676" max="8676" width="13.5703125" customWidth="1"/>
    <col min="8677" max="8677" width="12.85546875" customWidth="1"/>
    <col min="8680" max="8680" width="40.42578125" customWidth="1"/>
    <col min="8681" max="8681" width="13.7109375" customWidth="1"/>
    <col min="8682" max="8682" width="14" customWidth="1"/>
    <col min="8683" max="8683" width="12.85546875" bestFit="1" customWidth="1"/>
    <col min="8926" max="8926" width="18.28515625" customWidth="1"/>
    <col min="8927" max="8927" width="29.140625" customWidth="1"/>
    <col min="8928" max="8928" width="25.85546875" customWidth="1"/>
    <col min="8929" max="8929" width="27.5703125" customWidth="1"/>
    <col min="8930" max="8930" width="23.28515625" customWidth="1"/>
    <col min="8931" max="8931" width="22.5703125" customWidth="1"/>
    <col min="8932" max="8932" width="13.5703125" customWidth="1"/>
    <col min="8933" max="8933" width="12.85546875" customWidth="1"/>
    <col min="8936" max="8936" width="40.42578125" customWidth="1"/>
    <col min="8937" max="8937" width="13.7109375" customWidth="1"/>
    <col min="8938" max="8938" width="14" customWidth="1"/>
    <col min="8939" max="8939" width="12.85546875" bestFit="1" customWidth="1"/>
    <col min="9182" max="9182" width="18.28515625" customWidth="1"/>
    <col min="9183" max="9183" width="29.140625" customWidth="1"/>
    <col min="9184" max="9184" width="25.85546875" customWidth="1"/>
    <col min="9185" max="9185" width="27.5703125" customWidth="1"/>
    <col min="9186" max="9186" width="23.28515625" customWidth="1"/>
    <col min="9187" max="9187" width="22.5703125" customWidth="1"/>
    <col min="9188" max="9188" width="13.5703125" customWidth="1"/>
    <col min="9189" max="9189" width="12.85546875" customWidth="1"/>
    <col min="9192" max="9192" width="40.42578125" customWidth="1"/>
    <col min="9193" max="9193" width="13.7109375" customWidth="1"/>
    <col min="9194" max="9194" width="14" customWidth="1"/>
    <col min="9195" max="9195" width="12.85546875" bestFit="1" customWidth="1"/>
    <col min="9438" max="9438" width="18.28515625" customWidth="1"/>
    <col min="9439" max="9439" width="29.140625" customWidth="1"/>
    <col min="9440" max="9440" width="25.85546875" customWidth="1"/>
    <col min="9441" max="9441" width="27.5703125" customWidth="1"/>
    <col min="9442" max="9442" width="23.28515625" customWidth="1"/>
    <col min="9443" max="9443" width="22.5703125" customWidth="1"/>
    <col min="9444" max="9444" width="13.5703125" customWidth="1"/>
    <col min="9445" max="9445" width="12.85546875" customWidth="1"/>
    <col min="9448" max="9448" width="40.42578125" customWidth="1"/>
    <col min="9449" max="9449" width="13.7109375" customWidth="1"/>
    <col min="9450" max="9450" width="14" customWidth="1"/>
    <col min="9451" max="9451" width="12.85546875" bestFit="1" customWidth="1"/>
    <col min="9694" max="9694" width="18.28515625" customWidth="1"/>
    <col min="9695" max="9695" width="29.140625" customWidth="1"/>
    <col min="9696" max="9696" width="25.85546875" customWidth="1"/>
    <col min="9697" max="9697" width="27.5703125" customWidth="1"/>
    <col min="9698" max="9698" width="23.28515625" customWidth="1"/>
    <col min="9699" max="9699" width="22.5703125" customWidth="1"/>
    <col min="9700" max="9700" width="13.5703125" customWidth="1"/>
    <col min="9701" max="9701" width="12.85546875" customWidth="1"/>
    <col min="9704" max="9704" width="40.42578125" customWidth="1"/>
    <col min="9705" max="9705" width="13.7109375" customWidth="1"/>
    <col min="9706" max="9706" width="14" customWidth="1"/>
    <col min="9707" max="9707" width="12.85546875" bestFit="1" customWidth="1"/>
    <col min="9950" max="9950" width="18.28515625" customWidth="1"/>
    <col min="9951" max="9951" width="29.140625" customWidth="1"/>
    <col min="9952" max="9952" width="25.85546875" customWidth="1"/>
    <col min="9953" max="9953" width="27.5703125" customWidth="1"/>
    <col min="9954" max="9954" width="23.28515625" customWidth="1"/>
    <col min="9955" max="9955" width="22.5703125" customWidth="1"/>
    <col min="9956" max="9956" width="13.5703125" customWidth="1"/>
    <col min="9957" max="9957" width="12.85546875" customWidth="1"/>
    <col min="9960" max="9960" width="40.42578125" customWidth="1"/>
    <col min="9961" max="9961" width="13.7109375" customWidth="1"/>
    <col min="9962" max="9962" width="14" customWidth="1"/>
    <col min="9963" max="9963" width="12.85546875" bestFit="1" customWidth="1"/>
    <col min="10206" max="10206" width="18.28515625" customWidth="1"/>
    <col min="10207" max="10207" width="29.140625" customWidth="1"/>
    <col min="10208" max="10208" width="25.85546875" customWidth="1"/>
    <col min="10209" max="10209" width="27.5703125" customWidth="1"/>
    <col min="10210" max="10210" width="23.28515625" customWidth="1"/>
    <col min="10211" max="10211" width="22.5703125" customWidth="1"/>
    <col min="10212" max="10212" width="13.5703125" customWidth="1"/>
    <col min="10213" max="10213" width="12.85546875" customWidth="1"/>
    <col min="10216" max="10216" width="40.42578125" customWidth="1"/>
    <col min="10217" max="10217" width="13.7109375" customWidth="1"/>
    <col min="10218" max="10218" width="14" customWidth="1"/>
    <col min="10219" max="10219" width="12.85546875" bestFit="1" customWidth="1"/>
    <col min="10462" max="10462" width="18.28515625" customWidth="1"/>
    <col min="10463" max="10463" width="29.140625" customWidth="1"/>
    <col min="10464" max="10464" width="25.85546875" customWidth="1"/>
    <col min="10465" max="10465" width="27.5703125" customWidth="1"/>
    <col min="10466" max="10466" width="23.28515625" customWidth="1"/>
    <col min="10467" max="10467" width="22.5703125" customWidth="1"/>
    <col min="10468" max="10468" width="13.5703125" customWidth="1"/>
    <col min="10469" max="10469" width="12.85546875" customWidth="1"/>
    <col min="10472" max="10472" width="40.42578125" customWidth="1"/>
    <col min="10473" max="10473" width="13.7109375" customWidth="1"/>
    <col min="10474" max="10474" width="14" customWidth="1"/>
    <col min="10475" max="10475" width="12.85546875" bestFit="1" customWidth="1"/>
    <col min="10718" max="10718" width="18.28515625" customWidth="1"/>
    <col min="10719" max="10719" width="29.140625" customWidth="1"/>
    <col min="10720" max="10720" width="25.85546875" customWidth="1"/>
    <col min="10721" max="10721" width="27.5703125" customWidth="1"/>
    <col min="10722" max="10722" width="23.28515625" customWidth="1"/>
    <col min="10723" max="10723" width="22.5703125" customWidth="1"/>
    <col min="10724" max="10724" width="13.5703125" customWidth="1"/>
    <col min="10725" max="10725" width="12.85546875" customWidth="1"/>
    <col min="10728" max="10728" width="40.42578125" customWidth="1"/>
    <col min="10729" max="10729" width="13.7109375" customWidth="1"/>
    <col min="10730" max="10730" width="14" customWidth="1"/>
    <col min="10731" max="10731" width="12.85546875" bestFit="1" customWidth="1"/>
    <col min="10974" max="10974" width="18.28515625" customWidth="1"/>
    <col min="10975" max="10975" width="29.140625" customWidth="1"/>
    <col min="10976" max="10976" width="25.85546875" customWidth="1"/>
    <col min="10977" max="10977" width="27.5703125" customWidth="1"/>
    <col min="10978" max="10978" width="23.28515625" customWidth="1"/>
    <col min="10979" max="10979" width="22.5703125" customWidth="1"/>
    <col min="10980" max="10980" width="13.5703125" customWidth="1"/>
    <col min="10981" max="10981" width="12.85546875" customWidth="1"/>
    <col min="10984" max="10984" width="40.42578125" customWidth="1"/>
    <col min="10985" max="10985" width="13.7109375" customWidth="1"/>
    <col min="10986" max="10986" width="14" customWidth="1"/>
    <col min="10987" max="10987" width="12.85546875" bestFit="1" customWidth="1"/>
    <col min="11230" max="11230" width="18.28515625" customWidth="1"/>
    <col min="11231" max="11231" width="29.140625" customWidth="1"/>
    <col min="11232" max="11232" width="25.85546875" customWidth="1"/>
    <col min="11233" max="11233" width="27.5703125" customWidth="1"/>
    <col min="11234" max="11234" width="23.28515625" customWidth="1"/>
    <col min="11235" max="11235" width="22.5703125" customWidth="1"/>
    <col min="11236" max="11236" width="13.5703125" customWidth="1"/>
    <col min="11237" max="11237" width="12.85546875" customWidth="1"/>
    <col min="11240" max="11240" width="40.42578125" customWidth="1"/>
    <col min="11241" max="11241" width="13.7109375" customWidth="1"/>
    <col min="11242" max="11242" width="14" customWidth="1"/>
    <col min="11243" max="11243" width="12.85546875" bestFit="1" customWidth="1"/>
    <col min="11486" max="11486" width="18.28515625" customWidth="1"/>
    <col min="11487" max="11487" width="29.140625" customWidth="1"/>
    <col min="11488" max="11488" width="25.85546875" customWidth="1"/>
    <col min="11489" max="11489" width="27.5703125" customWidth="1"/>
    <col min="11490" max="11490" width="23.28515625" customWidth="1"/>
    <col min="11491" max="11491" width="22.5703125" customWidth="1"/>
    <col min="11492" max="11492" width="13.5703125" customWidth="1"/>
    <col min="11493" max="11493" width="12.85546875" customWidth="1"/>
    <col min="11496" max="11496" width="40.42578125" customWidth="1"/>
    <col min="11497" max="11497" width="13.7109375" customWidth="1"/>
    <col min="11498" max="11498" width="14" customWidth="1"/>
    <col min="11499" max="11499" width="12.85546875" bestFit="1" customWidth="1"/>
    <col min="11742" max="11742" width="18.28515625" customWidth="1"/>
    <col min="11743" max="11743" width="29.140625" customWidth="1"/>
    <col min="11744" max="11744" width="25.85546875" customWidth="1"/>
    <col min="11745" max="11745" width="27.5703125" customWidth="1"/>
    <col min="11746" max="11746" width="23.28515625" customWidth="1"/>
    <col min="11747" max="11747" width="22.5703125" customWidth="1"/>
    <col min="11748" max="11748" width="13.5703125" customWidth="1"/>
    <col min="11749" max="11749" width="12.85546875" customWidth="1"/>
    <col min="11752" max="11752" width="40.42578125" customWidth="1"/>
    <col min="11753" max="11753" width="13.7109375" customWidth="1"/>
    <col min="11754" max="11754" width="14" customWidth="1"/>
    <col min="11755" max="11755" width="12.85546875" bestFit="1" customWidth="1"/>
    <col min="11998" max="11998" width="18.28515625" customWidth="1"/>
    <col min="11999" max="11999" width="29.140625" customWidth="1"/>
    <col min="12000" max="12000" width="25.85546875" customWidth="1"/>
    <col min="12001" max="12001" width="27.5703125" customWidth="1"/>
    <col min="12002" max="12002" width="23.28515625" customWidth="1"/>
    <col min="12003" max="12003" width="22.5703125" customWidth="1"/>
    <col min="12004" max="12004" width="13.5703125" customWidth="1"/>
    <col min="12005" max="12005" width="12.85546875" customWidth="1"/>
    <col min="12008" max="12008" width="40.42578125" customWidth="1"/>
    <col min="12009" max="12009" width="13.7109375" customWidth="1"/>
    <col min="12010" max="12010" width="14" customWidth="1"/>
    <col min="12011" max="12011" width="12.85546875" bestFit="1" customWidth="1"/>
    <col min="12254" max="12254" width="18.28515625" customWidth="1"/>
    <col min="12255" max="12255" width="29.140625" customWidth="1"/>
    <col min="12256" max="12256" width="25.85546875" customWidth="1"/>
    <col min="12257" max="12257" width="27.5703125" customWidth="1"/>
    <col min="12258" max="12258" width="23.28515625" customWidth="1"/>
    <col min="12259" max="12259" width="22.5703125" customWidth="1"/>
    <col min="12260" max="12260" width="13.5703125" customWidth="1"/>
    <col min="12261" max="12261" width="12.85546875" customWidth="1"/>
    <col min="12264" max="12264" width="40.42578125" customWidth="1"/>
    <col min="12265" max="12265" width="13.7109375" customWidth="1"/>
    <col min="12266" max="12266" width="14" customWidth="1"/>
    <col min="12267" max="12267" width="12.85546875" bestFit="1" customWidth="1"/>
    <col min="12510" max="12510" width="18.28515625" customWidth="1"/>
    <col min="12511" max="12511" width="29.140625" customWidth="1"/>
    <col min="12512" max="12512" width="25.85546875" customWidth="1"/>
    <col min="12513" max="12513" width="27.5703125" customWidth="1"/>
    <col min="12514" max="12514" width="23.28515625" customWidth="1"/>
    <col min="12515" max="12515" width="22.5703125" customWidth="1"/>
    <col min="12516" max="12516" width="13.5703125" customWidth="1"/>
    <col min="12517" max="12517" width="12.85546875" customWidth="1"/>
    <col min="12520" max="12520" width="40.42578125" customWidth="1"/>
    <col min="12521" max="12521" width="13.7109375" customWidth="1"/>
    <col min="12522" max="12522" width="14" customWidth="1"/>
    <col min="12523" max="12523" width="12.85546875" bestFit="1" customWidth="1"/>
    <col min="12766" max="12766" width="18.28515625" customWidth="1"/>
    <col min="12767" max="12767" width="29.140625" customWidth="1"/>
    <col min="12768" max="12768" width="25.85546875" customWidth="1"/>
    <col min="12769" max="12769" width="27.5703125" customWidth="1"/>
    <col min="12770" max="12770" width="23.28515625" customWidth="1"/>
    <col min="12771" max="12771" width="22.5703125" customWidth="1"/>
    <col min="12772" max="12772" width="13.5703125" customWidth="1"/>
    <col min="12773" max="12773" width="12.85546875" customWidth="1"/>
    <col min="12776" max="12776" width="40.42578125" customWidth="1"/>
    <col min="12777" max="12777" width="13.7109375" customWidth="1"/>
    <col min="12778" max="12778" width="14" customWidth="1"/>
    <col min="12779" max="12779" width="12.85546875" bestFit="1" customWidth="1"/>
    <col min="13022" max="13022" width="18.28515625" customWidth="1"/>
    <col min="13023" max="13023" width="29.140625" customWidth="1"/>
    <col min="13024" max="13024" width="25.85546875" customWidth="1"/>
    <col min="13025" max="13025" width="27.5703125" customWidth="1"/>
    <col min="13026" max="13026" width="23.28515625" customWidth="1"/>
    <col min="13027" max="13027" width="22.5703125" customWidth="1"/>
    <col min="13028" max="13028" width="13.5703125" customWidth="1"/>
    <col min="13029" max="13029" width="12.85546875" customWidth="1"/>
    <col min="13032" max="13032" width="40.42578125" customWidth="1"/>
    <col min="13033" max="13033" width="13.7109375" customWidth="1"/>
    <col min="13034" max="13034" width="14" customWidth="1"/>
    <col min="13035" max="13035" width="12.85546875" bestFit="1" customWidth="1"/>
    <col min="13278" max="13278" width="18.28515625" customWidth="1"/>
    <col min="13279" max="13279" width="29.140625" customWidth="1"/>
    <col min="13280" max="13280" width="25.85546875" customWidth="1"/>
    <col min="13281" max="13281" width="27.5703125" customWidth="1"/>
    <col min="13282" max="13282" width="23.28515625" customWidth="1"/>
    <col min="13283" max="13283" width="22.5703125" customWidth="1"/>
    <col min="13284" max="13284" width="13.5703125" customWidth="1"/>
    <col min="13285" max="13285" width="12.85546875" customWidth="1"/>
    <col min="13288" max="13288" width="40.42578125" customWidth="1"/>
    <col min="13289" max="13289" width="13.7109375" customWidth="1"/>
    <col min="13290" max="13290" width="14" customWidth="1"/>
    <col min="13291" max="13291" width="12.85546875" bestFit="1" customWidth="1"/>
    <col min="13534" max="13534" width="18.28515625" customWidth="1"/>
    <col min="13535" max="13535" width="29.140625" customWidth="1"/>
    <col min="13536" max="13536" width="25.85546875" customWidth="1"/>
    <col min="13537" max="13537" width="27.5703125" customWidth="1"/>
    <col min="13538" max="13538" width="23.28515625" customWidth="1"/>
    <col min="13539" max="13539" width="22.5703125" customWidth="1"/>
    <col min="13540" max="13540" width="13.5703125" customWidth="1"/>
    <col min="13541" max="13541" width="12.85546875" customWidth="1"/>
    <col min="13544" max="13544" width="40.42578125" customWidth="1"/>
    <col min="13545" max="13545" width="13.7109375" customWidth="1"/>
    <col min="13546" max="13546" width="14" customWidth="1"/>
    <col min="13547" max="13547" width="12.85546875" bestFit="1" customWidth="1"/>
    <col min="13790" max="13790" width="18.28515625" customWidth="1"/>
    <col min="13791" max="13791" width="29.140625" customWidth="1"/>
    <col min="13792" max="13792" width="25.85546875" customWidth="1"/>
    <col min="13793" max="13793" width="27.5703125" customWidth="1"/>
    <col min="13794" max="13794" width="23.28515625" customWidth="1"/>
    <col min="13795" max="13795" width="22.5703125" customWidth="1"/>
    <col min="13796" max="13796" width="13.5703125" customWidth="1"/>
    <col min="13797" max="13797" width="12.85546875" customWidth="1"/>
    <col min="13800" max="13800" width="40.42578125" customWidth="1"/>
    <col min="13801" max="13801" width="13.7109375" customWidth="1"/>
    <col min="13802" max="13802" width="14" customWidth="1"/>
    <col min="13803" max="13803" width="12.85546875" bestFit="1" customWidth="1"/>
    <col min="14046" max="14046" width="18.28515625" customWidth="1"/>
    <col min="14047" max="14047" width="29.140625" customWidth="1"/>
    <col min="14048" max="14048" width="25.85546875" customWidth="1"/>
    <col min="14049" max="14049" width="27.5703125" customWidth="1"/>
    <col min="14050" max="14050" width="23.28515625" customWidth="1"/>
    <col min="14051" max="14051" width="22.5703125" customWidth="1"/>
    <col min="14052" max="14052" width="13.5703125" customWidth="1"/>
    <col min="14053" max="14053" width="12.85546875" customWidth="1"/>
    <col min="14056" max="14056" width="40.42578125" customWidth="1"/>
    <col min="14057" max="14057" width="13.7109375" customWidth="1"/>
    <col min="14058" max="14058" width="14" customWidth="1"/>
    <col min="14059" max="14059" width="12.85546875" bestFit="1" customWidth="1"/>
    <col min="14302" max="14302" width="18.28515625" customWidth="1"/>
    <col min="14303" max="14303" width="29.140625" customWidth="1"/>
    <col min="14304" max="14304" width="25.85546875" customWidth="1"/>
    <col min="14305" max="14305" width="27.5703125" customWidth="1"/>
    <col min="14306" max="14306" width="23.28515625" customWidth="1"/>
    <col min="14307" max="14307" width="22.5703125" customWidth="1"/>
    <col min="14308" max="14308" width="13.5703125" customWidth="1"/>
    <col min="14309" max="14309" width="12.85546875" customWidth="1"/>
    <col min="14312" max="14312" width="40.42578125" customWidth="1"/>
    <col min="14313" max="14313" width="13.7109375" customWidth="1"/>
    <col min="14314" max="14314" width="14" customWidth="1"/>
    <col min="14315" max="14315" width="12.85546875" bestFit="1" customWidth="1"/>
    <col min="14558" max="14558" width="18.28515625" customWidth="1"/>
    <col min="14559" max="14559" width="29.140625" customWidth="1"/>
    <col min="14560" max="14560" width="25.85546875" customWidth="1"/>
    <col min="14561" max="14561" width="27.5703125" customWidth="1"/>
    <col min="14562" max="14562" width="23.28515625" customWidth="1"/>
    <col min="14563" max="14563" width="22.5703125" customWidth="1"/>
    <col min="14564" max="14564" width="13.5703125" customWidth="1"/>
    <col min="14565" max="14565" width="12.85546875" customWidth="1"/>
    <col min="14568" max="14568" width="40.42578125" customWidth="1"/>
    <col min="14569" max="14569" width="13.7109375" customWidth="1"/>
    <col min="14570" max="14570" width="14" customWidth="1"/>
    <col min="14571" max="14571" width="12.85546875" bestFit="1" customWidth="1"/>
    <col min="14814" max="14814" width="18.28515625" customWidth="1"/>
    <col min="14815" max="14815" width="29.140625" customWidth="1"/>
    <col min="14816" max="14816" width="25.85546875" customWidth="1"/>
    <col min="14817" max="14817" width="27.5703125" customWidth="1"/>
    <col min="14818" max="14818" width="23.28515625" customWidth="1"/>
    <col min="14819" max="14819" width="22.5703125" customWidth="1"/>
    <col min="14820" max="14820" width="13.5703125" customWidth="1"/>
    <col min="14821" max="14821" width="12.85546875" customWidth="1"/>
    <col min="14824" max="14824" width="40.42578125" customWidth="1"/>
    <col min="14825" max="14825" width="13.7109375" customWidth="1"/>
    <col min="14826" max="14826" width="14" customWidth="1"/>
    <col min="14827" max="14827" width="12.85546875" bestFit="1" customWidth="1"/>
    <col min="15070" max="15070" width="18.28515625" customWidth="1"/>
    <col min="15071" max="15071" width="29.140625" customWidth="1"/>
    <col min="15072" max="15072" width="25.85546875" customWidth="1"/>
    <col min="15073" max="15073" width="27.5703125" customWidth="1"/>
    <col min="15074" max="15074" width="23.28515625" customWidth="1"/>
    <col min="15075" max="15075" width="22.5703125" customWidth="1"/>
    <col min="15076" max="15076" width="13.5703125" customWidth="1"/>
    <col min="15077" max="15077" width="12.85546875" customWidth="1"/>
    <col min="15080" max="15080" width="40.42578125" customWidth="1"/>
    <col min="15081" max="15081" width="13.7109375" customWidth="1"/>
    <col min="15082" max="15082" width="14" customWidth="1"/>
    <col min="15083" max="15083" width="12.85546875" bestFit="1" customWidth="1"/>
    <col min="15326" max="15326" width="18.28515625" customWidth="1"/>
    <col min="15327" max="15327" width="29.140625" customWidth="1"/>
    <col min="15328" max="15328" width="25.85546875" customWidth="1"/>
    <col min="15329" max="15329" width="27.5703125" customWidth="1"/>
    <col min="15330" max="15330" width="23.28515625" customWidth="1"/>
    <col min="15331" max="15331" width="22.5703125" customWidth="1"/>
    <col min="15332" max="15332" width="13.5703125" customWidth="1"/>
    <col min="15333" max="15333" width="12.85546875" customWidth="1"/>
    <col min="15336" max="15336" width="40.42578125" customWidth="1"/>
    <col min="15337" max="15337" width="13.7109375" customWidth="1"/>
    <col min="15338" max="15338" width="14" customWidth="1"/>
    <col min="15339" max="15339" width="12.85546875" bestFit="1" customWidth="1"/>
    <col min="15582" max="15582" width="18.28515625" customWidth="1"/>
    <col min="15583" max="15583" width="29.140625" customWidth="1"/>
    <col min="15584" max="15584" width="25.85546875" customWidth="1"/>
    <col min="15585" max="15585" width="27.5703125" customWidth="1"/>
    <col min="15586" max="15586" width="23.28515625" customWidth="1"/>
    <col min="15587" max="15587" width="22.5703125" customWidth="1"/>
    <col min="15588" max="15588" width="13.5703125" customWidth="1"/>
    <col min="15589" max="15589" width="12.85546875" customWidth="1"/>
    <col min="15592" max="15592" width="40.42578125" customWidth="1"/>
    <col min="15593" max="15593" width="13.7109375" customWidth="1"/>
    <col min="15594" max="15594" width="14" customWidth="1"/>
    <col min="15595" max="15595" width="12.85546875" bestFit="1" customWidth="1"/>
    <col min="15838" max="15838" width="18.28515625" customWidth="1"/>
    <col min="15839" max="15839" width="29.140625" customWidth="1"/>
    <col min="15840" max="15840" width="25.85546875" customWidth="1"/>
    <col min="15841" max="15841" width="27.5703125" customWidth="1"/>
    <col min="15842" max="15842" width="23.28515625" customWidth="1"/>
    <col min="15843" max="15843" width="22.5703125" customWidth="1"/>
    <col min="15844" max="15844" width="13.5703125" customWidth="1"/>
    <col min="15845" max="15845" width="12.85546875" customWidth="1"/>
    <col min="15848" max="15848" width="40.42578125" customWidth="1"/>
    <col min="15849" max="15849" width="13.7109375" customWidth="1"/>
    <col min="15850" max="15850" width="14" customWidth="1"/>
    <col min="15851" max="15851" width="12.85546875" bestFit="1" customWidth="1"/>
    <col min="16094" max="16094" width="18.28515625" customWidth="1"/>
    <col min="16095" max="16095" width="29.140625" customWidth="1"/>
    <col min="16096" max="16096" width="25.85546875" customWidth="1"/>
    <col min="16097" max="16097" width="27.5703125" customWidth="1"/>
    <col min="16098" max="16098" width="23.28515625" customWidth="1"/>
    <col min="16099" max="16099" width="22.5703125" customWidth="1"/>
    <col min="16100" max="16100" width="13.5703125" customWidth="1"/>
    <col min="16101" max="16101" width="12.85546875" customWidth="1"/>
    <col min="16104" max="16104" width="40.42578125" customWidth="1"/>
    <col min="16105" max="16105" width="13.7109375" customWidth="1"/>
    <col min="16106" max="16106" width="14" customWidth="1"/>
    <col min="16107" max="16107" width="12.85546875" bestFit="1" customWidth="1"/>
  </cols>
  <sheetData>
    <row r="3" spans="1:19" ht="15">
      <c r="A3" s="1559" t="s">
        <v>2987</v>
      </c>
      <c r="B3" s="1559"/>
      <c r="C3" s="1559"/>
      <c r="D3" s="1559"/>
      <c r="E3" s="1559"/>
      <c r="F3" s="1559"/>
      <c r="G3" s="1559"/>
      <c r="H3" s="1559"/>
    </row>
    <row r="4" spans="1:19" ht="15">
      <c r="A4" s="1559" t="s">
        <v>238</v>
      </c>
      <c r="B4" s="1559"/>
      <c r="C4" s="1559"/>
      <c r="D4" s="1559"/>
      <c r="E4" s="1559"/>
      <c r="F4" s="1559"/>
      <c r="G4" s="1559"/>
      <c r="H4" s="1559"/>
    </row>
    <row r="5" spans="1:19" ht="15">
      <c r="A5" s="2018" t="s">
        <v>7079</v>
      </c>
      <c r="B5" s="2018"/>
      <c r="C5" s="2018"/>
      <c r="D5" s="2018"/>
      <c r="E5" s="2018"/>
      <c r="F5" s="2018"/>
      <c r="G5" s="2018"/>
      <c r="H5" s="2018"/>
    </row>
    <row r="6" spans="1:19" ht="15">
      <c r="A6" s="2018" t="s">
        <v>7080</v>
      </c>
      <c r="B6" s="2018"/>
      <c r="C6" s="2018"/>
      <c r="D6" s="2018"/>
      <c r="E6" s="2018"/>
      <c r="F6" s="2018"/>
      <c r="G6" s="2018"/>
      <c r="H6" s="2018"/>
    </row>
    <row r="7" spans="1:19">
      <c r="B7" s="142"/>
      <c r="C7" s="142"/>
      <c r="D7" s="142"/>
      <c r="E7" s="6"/>
    </row>
    <row r="8" spans="1:19" ht="24" customHeight="1">
      <c r="A8" s="663" t="s">
        <v>1865</v>
      </c>
      <c r="B8" s="663" t="s">
        <v>1866</v>
      </c>
      <c r="C8" s="663" t="s">
        <v>1867</v>
      </c>
      <c r="D8" s="663" t="s">
        <v>1868</v>
      </c>
      <c r="E8" s="2013" t="s">
        <v>1869</v>
      </c>
      <c r="F8" s="2014"/>
      <c r="G8" s="663" t="s">
        <v>240</v>
      </c>
      <c r="H8" s="663" t="s">
        <v>241</v>
      </c>
      <c r="P8" s="2020" t="s">
        <v>6444</v>
      </c>
      <c r="Q8" s="2020"/>
      <c r="R8" s="2020"/>
      <c r="S8" s="2020"/>
    </row>
    <row r="9" spans="1:19">
      <c r="A9" s="143"/>
      <c r="B9" s="143"/>
      <c r="C9" s="143"/>
      <c r="D9" s="143"/>
      <c r="E9" s="143"/>
      <c r="F9" s="143"/>
      <c r="G9" s="143"/>
      <c r="H9" s="143"/>
    </row>
    <row r="10" spans="1:19" ht="15.75">
      <c r="A10" s="1991"/>
      <c r="B10" s="1991"/>
      <c r="C10" s="1991"/>
      <c r="D10" s="1991"/>
      <c r="E10" s="1991"/>
      <c r="F10" s="1991"/>
      <c r="G10" s="1991"/>
      <c r="H10" s="1991"/>
      <c r="P10" s="2031" t="s">
        <v>247</v>
      </c>
      <c r="Q10" s="2031"/>
      <c r="R10" s="2031"/>
      <c r="S10" s="2031"/>
    </row>
    <row r="11" spans="1:19" ht="12.75" customHeight="1" thickBot="1">
      <c r="A11" s="2028" t="s">
        <v>239</v>
      </c>
      <c r="B11" s="1993" t="s">
        <v>1864</v>
      </c>
      <c r="C11" s="1993" t="s">
        <v>1870</v>
      </c>
      <c r="D11" s="1993" t="s">
        <v>1871</v>
      </c>
      <c r="E11" s="1994" t="s">
        <v>1875</v>
      </c>
      <c r="F11" s="1994" t="s">
        <v>1878</v>
      </c>
      <c r="G11" s="1994" t="s">
        <v>1876</v>
      </c>
      <c r="H11" s="1994" t="s">
        <v>1877</v>
      </c>
      <c r="L11" s="775"/>
      <c r="M11" s="775"/>
      <c r="P11" s="736"/>
      <c r="Q11" s="736"/>
      <c r="R11" s="736"/>
      <c r="S11" s="736"/>
    </row>
    <row r="12" spans="1:19" ht="33.75" customHeight="1" thickBot="1">
      <c r="A12" s="2028"/>
      <c r="B12" s="1993"/>
      <c r="C12" s="1993"/>
      <c r="D12" s="1993"/>
      <c r="E12" s="1994"/>
      <c r="F12" s="1994"/>
      <c r="G12" s="1994"/>
      <c r="H12" s="1994"/>
      <c r="P12" s="564" t="s">
        <v>1050</v>
      </c>
      <c r="Q12" s="1397" t="s">
        <v>246</v>
      </c>
      <c r="R12" s="1398" t="s">
        <v>244</v>
      </c>
      <c r="S12" s="564" t="s">
        <v>1051</v>
      </c>
    </row>
    <row r="13" spans="1:19" ht="15">
      <c r="A13" s="2028"/>
      <c r="B13" s="1993"/>
      <c r="C13" s="1993"/>
      <c r="D13" s="1993"/>
      <c r="E13" s="2024">
        <f>0+6+2+3+1+4+5+1+4+2+3+2</f>
        <v>33</v>
      </c>
      <c r="F13" s="2025">
        <f>2+8+3+5+1+6+7+3+6+2+3+4</f>
        <v>50</v>
      </c>
      <c r="G13" s="2027">
        <f>+E13/F13</f>
        <v>0.66</v>
      </c>
      <c r="H13" s="2019">
        <v>0.6</v>
      </c>
      <c r="P13" s="737" t="s">
        <v>1053</v>
      </c>
      <c r="Q13" s="738" t="s">
        <v>732</v>
      </c>
      <c r="R13" s="739" t="s">
        <v>732</v>
      </c>
      <c r="S13" s="522">
        <v>1</v>
      </c>
    </row>
    <row r="14" spans="1:19">
      <c r="A14" s="2028"/>
      <c r="B14" s="1993"/>
      <c r="C14" s="1993"/>
      <c r="D14" s="1993"/>
      <c r="E14" s="2024"/>
      <c r="F14" s="2026"/>
      <c r="G14" s="2027"/>
      <c r="H14" s="2019"/>
      <c r="K14" s="2021" t="s">
        <v>5650</v>
      </c>
      <c r="L14" s="2022"/>
      <c r="M14" s="2022"/>
      <c r="N14" s="2023"/>
      <c r="P14" s="740" t="s">
        <v>5694</v>
      </c>
      <c r="Q14" s="741" t="s">
        <v>732</v>
      </c>
      <c r="R14" s="523" t="s">
        <v>732</v>
      </c>
      <c r="S14" s="522">
        <v>1</v>
      </c>
    </row>
    <row r="15" spans="1:19" ht="15">
      <c r="A15" s="2028"/>
      <c r="B15" s="1993"/>
      <c r="C15" s="1993"/>
      <c r="D15" s="1993"/>
      <c r="E15" s="2024"/>
      <c r="F15" s="2026"/>
      <c r="G15" s="2027"/>
      <c r="H15" s="2019"/>
      <c r="I15" s="775"/>
      <c r="K15" s="135" t="s">
        <v>1295</v>
      </c>
      <c r="L15" s="141" t="s">
        <v>1767</v>
      </c>
      <c r="P15" s="742" t="s">
        <v>1802</v>
      </c>
      <c r="Q15" s="743"/>
      <c r="R15" s="524"/>
      <c r="S15" s="521">
        <v>1</v>
      </c>
    </row>
    <row r="16" spans="1:19" ht="18.75" customHeight="1">
      <c r="A16" s="2028"/>
      <c r="B16" s="1993"/>
      <c r="C16" s="1993"/>
      <c r="D16" s="1993"/>
      <c r="E16" s="2024"/>
      <c r="F16" s="2026"/>
      <c r="G16" s="2027"/>
      <c r="H16" s="2019"/>
      <c r="K16" s="775" t="s">
        <v>5651</v>
      </c>
      <c r="L16" s="780">
        <f>(5777151.6/1.16/12)</f>
        <v>415025.25862068962</v>
      </c>
      <c r="P16" s="744" t="s">
        <v>1052</v>
      </c>
      <c r="Q16" s="743"/>
      <c r="R16" s="524" t="s">
        <v>732</v>
      </c>
      <c r="S16" s="521">
        <v>1</v>
      </c>
    </row>
    <row r="17" spans="1:19" ht="15">
      <c r="A17" s="1991"/>
      <c r="B17" s="1991"/>
      <c r="C17" s="1991"/>
      <c r="D17" s="1991"/>
      <c r="E17" s="1991"/>
      <c r="F17" s="1991"/>
      <c r="G17" s="1991"/>
      <c r="H17" s="1991"/>
      <c r="K17" s="775" t="s">
        <v>5898</v>
      </c>
      <c r="L17" s="780">
        <f>863500/11</f>
        <v>78500</v>
      </c>
      <c r="P17" s="742" t="s">
        <v>5695</v>
      </c>
      <c r="Q17" s="743"/>
      <c r="R17" s="524"/>
      <c r="S17" s="521">
        <v>1</v>
      </c>
    </row>
    <row r="18" spans="1:19">
      <c r="A18" s="1988" t="s">
        <v>242</v>
      </c>
      <c r="B18" s="1993" t="s">
        <v>1872</v>
      </c>
      <c r="C18" s="1993" t="s">
        <v>1873</v>
      </c>
      <c r="D18" s="1993" t="s">
        <v>1874</v>
      </c>
      <c r="E18" s="1994" t="s">
        <v>1879</v>
      </c>
      <c r="F18" s="1994" t="s">
        <v>1880</v>
      </c>
      <c r="G18" s="1994" t="s">
        <v>1876</v>
      </c>
      <c r="H18" s="1994" t="s">
        <v>1877</v>
      </c>
      <c r="K18" s="775"/>
      <c r="L18" s="780"/>
      <c r="P18" s="744" t="s">
        <v>1304</v>
      </c>
      <c r="Q18" s="745"/>
      <c r="R18" s="746"/>
      <c r="S18" s="521">
        <v>1</v>
      </c>
    </row>
    <row r="19" spans="1:19" ht="15">
      <c r="A19" s="1989"/>
      <c r="B19" s="1993"/>
      <c r="C19" s="1993"/>
      <c r="D19" s="1993"/>
      <c r="E19" s="1994"/>
      <c r="F19" s="1994"/>
      <c r="G19" s="1994"/>
      <c r="H19" s="1994"/>
      <c r="K19" s="775"/>
      <c r="L19" s="780"/>
      <c r="M19" s="4"/>
      <c r="P19" s="742" t="s">
        <v>3195</v>
      </c>
      <c r="Q19" s="743"/>
      <c r="R19" s="524"/>
      <c r="S19" s="521">
        <v>1</v>
      </c>
    </row>
    <row r="20" spans="1:19" ht="17.25" customHeight="1">
      <c r="A20" s="1989"/>
      <c r="B20" s="1993"/>
      <c r="C20" s="1993"/>
      <c r="D20" s="1993"/>
      <c r="E20" s="1990">
        <f>+'VARIACIONES EGRESOS'!R143</f>
        <v>27911275.870000001</v>
      </c>
      <c r="F20" s="1998">
        <v>95589681</v>
      </c>
      <c r="G20" s="2015">
        <f>(+E20/F20)</f>
        <v>0.29199046987090582</v>
      </c>
      <c r="H20" s="2019">
        <v>1</v>
      </c>
      <c r="K20" s="775" t="s">
        <v>5652</v>
      </c>
      <c r="L20" s="780">
        <f>SUM(L16:L19)</f>
        <v>493525.25862068962</v>
      </c>
      <c r="M20" s="4"/>
      <c r="P20" s="742" t="s">
        <v>1054</v>
      </c>
      <c r="Q20" s="743" t="s">
        <v>732</v>
      </c>
      <c r="R20" s="524" t="s">
        <v>732</v>
      </c>
      <c r="S20" s="521">
        <v>1</v>
      </c>
    </row>
    <row r="21" spans="1:19" ht="15">
      <c r="A21" s="1989"/>
      <c r="B21" s="1993"/>
      <c r="C21" s="1993"/>
      <c r="D21" s="1993"/>
      <c r="E21" s="1990"/>
      <c r="F21" s="1999"/>
      <c r="G21" s="2015"/>
      <c r="H21" s="2019"/>
      <c r="K21" s="135" t="s">
        <v>2831</v>
      </c>
      <c r="L21" s="135" t="s">
        <v>1889</v>
      </c>
      <c r="M21" s="141"/>
      <c r="P21" s="742" t="s">
        <v>1768</v>
      </c>
      <c r="Q21" s="743"/>
      <c r="R21" s="524"/>
      <c r="S21" s="521">
        <v>1</v>
      </c>
    </row>
    <row r="22" spans="1:19" ht="15">
      <c r="A22" s="1989"/>
      <c r="B22" s="1993"/>
      <c r="C22" s="1993"/>
      <c r="D22" s="1993"/>
      <c r="E22" s="1990"/>
      <c r="F22" s="1999"/>
      <c r="G22" s="2015"/>
      <c r="H22" s="2019"/>
      <c r="K22" t="s">
        <v>247</v>
      </c>
      <c r="L22">
        <v>400</v>
      </c>
      <c r="M22" s="4"/>
      <c r="P22" s="742" t="s">
        <v>6420</v>
      </c>
      <c r="Q22" s="743"/>
      <c r="R22" s="524"/>
      <c r="S22" s="521">
        <v>1</v>
      </c>
    </row>
    <row r="23" spans="1:19" ht="15">
      <c r="A23" s="1989"/>
      <c r="B23" s="1993"/>
      <c r="C23" s="1993"/>
      <c r="D23" s="1993"/>
      <c r="E23" s="1990"/>
      <c r="F23" s="2000"/>
      <c r="G23" s="2015"/>
      <c r="H23" s="2019"/>
      <c r="K23" t="s">
        <v>218</v>
      </c>
      <c r="L23">
        <v>37</v>
      </c>
      <c r="M23" s="4"/>
      <c r="P23" s="742" t="s">
        <v>1055</v>
      </c>
      <c r="Q23" s="743" t="s">
        <v>732</v>
      </c>
      <c r="R23" s="524" t="s">
        <v>732</v>
      </c>
      <c r="S23" s="521">
        <v>1</v>
      </c>
    </row>
    <row r="24" spans="1:19" ht="15">
      <c r="A24" s="1991"/>
      <c r="B24" s="1991"/>
      <c r="C24" s="1991"/>
      <c r="D24" s="1991"/>
      <c r="E24" s="1991"/>
      <c r="F24" s="1991"/>
      <c r="G24" s="1991"/>
      <c r="H24" s="1991"/>
      <c r="K24" s="73" t="s">
        <v>95</v>
      </c>
      <c r="L24">
        <v>100</v>
      </c>
      <c r="M24" s="4"/>
      <c r="P24" s="742" t="s">
        <v>5696</v>
      </c>
      <c r="Q24" s="743"/>
      <c r="R24" s="524"/>
      <c r="S24" s="521">
        <v>1</v>
      </c>
    </row>
    <row r="25" spans="1:19" ht="15">
      <c r="A25" s="1989" t="s">
        <v>250</v>
      </c>
      <c r="B25" s="1993" t="s">
        <v>1881</v>
      </c>
      <c r="C25" s="1993" t="s">
        <v>1882</v>
      </c>
      <c r="D25" s="1993" t="s">
        <v>1883</v>
      </c>
      <c r="E25" s="1994" t="s">
        <v>1884</v>
      </c>
      <c r="F25" s="1994" t="s">
        <v>1885</v>
      </c>
      <c r="G25" s="1994" t="s">
        <v>1876</v>
      </c>
      <c r="H25" s="1994" t="s">
        <v>1877</v>
      </c>
      <c r="K25" s="73" t="s">
        <v>1855</v>
      </c>
      <c r="L25" s="75">
        <v>0</v>
      </c>
      <c r="M25" s="4"/>
      <c r="P25" s="742" t="s">
        <v>3194</v>
      </c>
      <c r="Q25" s="743"/>
      <c r="R25" s="524"/>
      <c r="S25" s="521">
        <v>1</v>
      </c>
    </row>
    <row r="26" spans="1:19" ht="15">
      <c r="A26" s="1989"/>
      <c r="B26" s="1993"/>
      <c r="C26" s="1993"/>
      <c r="D26" s="1993"/>
      <c r="E26" s="1994"/>
      <c r="F26" s="1994"/>
      <c r="G26" s="1994"/>
      <c r="H26" s="1994"/>
      <c r="K26" s="73" t="s">
        <v>2832</v>
      </c>
      <c r="L26">
        <f>SUM(L22:L25)</f>
        <v>537</v>
      </c>
      <c r="P26" s="742" t="s">
        <v>1056</v>
      </c>
      <c r="Q26" s="743" t="s">
        <v>732</v>
      </c>
      <c r="R26" s="524" t="s">
        <v>732</v>
      </c>
      <c r="S26" s="521">
        <v>1</v>
      </c>
    </row>
    <row r="27" spans="1:19" ht="15">
      <c r="A27" s="1989"/>
      <c r="B27" s="1993"/>
      <c r="C27" s="1993"/>
      <c r="D27" s="1993"/>
      <c r="E27" s="1990">
        <f>'VARIACIONES EGRESOS'!R205-'VARIACIONES EGRESOS'!R159</f>
        <v>60040530.879999988</v>
      </c>
      <c r="F27" s="1998">
        <v>86276000</v>
      </c>
      <c r="G27" s="2015">
        <f>(+E27/F27)</f>
        <v>0.69591231489637895</v>
      </c>
      <c r="H27" s="2019">
        <v>1</v>
      </c>
      <c r="K27" s="135"/>
      <c r="L27" s="144"/>
      <c r="M27" s="144"/>
      <c r="P27" s="742" t="s">
        <v>1057</v>
      </c>
      <c r="Q27" s="743" t="s">
        <v>732</v>
      </c>
      <c r="R27" s="524" t="s">
        <v>732</v>
      </c>
      <c r="S27" s="521">
        <v>1</v>
      </c>
    </row>
    <row r="28" spans="1:19" ht="15">
      <c r="A28" s="1989"/>
      <c r="B28" s="1993"/>
      <c r="C28" s="1993"/>
      <c r="D28" s="1993"/>
      <c r="E28" s="1990"/>
      <c r="F28" s="1999"/>
      <c r="G28" s="2015"/>
      <c r="H28" s="2019"/>
      <c r="K28" s="135" t="s">
        <v>245</v>
      </c>
      <c r="P28" s="742" t="s">
        <v>6421</v>
      </c>
      <c r="Q28" s="743"/>
      <c r="R28" s="524"/>
      <c r="S28" s="521">
        <v>1</v>
      </c>
    </row>
    <row r="29" spans="1:19" ht="15">
      <c r="A29" s="1989"/>
      <c r="B29" s="1993"/>
      <c r="C29" s="1993"/>
      <c r="D29" s="1993"/>
      <c r="E29" s="1990"/>
      <c r="F29" s="1999"/>
      <c r="G29" s="2015"/>
      <c r="H29" s="2019"/>
      <c r="K29" s="73" t="s">
        <v>2833</v>
      </c>
      <c r="L29" s="681">
        <f>(+'VARIACIONES EGRESOS'!R143-'VARIACIONES EGRESOS'!R72-'VARIACIONES EGRESOS'!R73-'VARIACIONES EGRESOS'!R76-'VARIACIONES EGRESOS'!R86-'VARIACIONES EGRESOS'!R88-'VARIACIONES EGRESOS'!R98-'VARIACIONES EGRESOS'!R99-'VARIACIONES EGRESOS'!R101-'VARIACIONES EGRESOS'!R116-'VARIACIONES EGRESOS'!R118-'VARIACIONES EGRESOS'!R127-'VARIACIONES EGRESOS'!R141)/12</f>
        <v>1210017.7925</v>
      </c>
      <c r="P29" s="742" t="s">
        <v>1026</v>
      </c>
      <c r="Q29" s="743" t="s">
        <v>732</v>
      </c>
      <c r="R29" s="524" t="s">
        <v>732</v>
      </c>
      <c r="S29" s="521">
        <v>1</v>
      </c>
    </row>
    <row r="30" spans="1:19" ht="15">
      <c r="A30" s="1989"/>
      <c r="B30" s="1993"/>
      <c r="C30" s="1993"/>
      <c r="D30" s="1993"/>
      <c r="E30" s="1990"/>
      <c r="F30" s="2000"/>
      <c r="G30" s="2015"/>
      <c r="H30" s="2019"/>
      <c r="P30" s="742" t="s">
        <v>1058</v>
      </c>
      <c r="Q30" s="743" t="s">
        <v>732</v>
      </c>
      <c r="R30" s="524"/>
      <c r="S30" s="521">
        <v>1</v>
      </c>
    </row>
    <row r="31" spans="1:19" ht="15">
      <c r="A31" s="1991"/>
      <c r="B31" s="1991"/>
      <c r="C31" s="1991"/>
      <c r="D31" s="1991"/>
      <c r="E31" s="1991"/>
      <c r="F31" s="1991"/>
      <c r="G31" s="1991"/>
      <c r="H31" s="1991"/>
      <c r="K31" s="135" t="s">
        <v>2831</v>
      </c>
      <c r="L31" s="135" t="s">
        <v>1889</v>
      </c>
      <c r="P31" s="742" t="s">
        <v>1059</v>
      </c>
      <c r="Q31" s="743" t="s">
        <v>732</v>
      </c>
      <c r="R31" s="524" t="s">
        <v>732</v>
      </c>
      <c r="S31" s="521">
        <v>1</v>
      </c>
    </row>
    <row r="32" spans="1:19" ht="12.75" customHeight="1">
      <c r="A32" s="1989" t="s">
        <v>254</v>
      </c>
      <c r="B32" s="1993" t="s">
        <v>1886</v>
      </c>
      <c r="C32" s="1993" t="s">
        <v>1887</v>
      </c>
      <c r="D32" s="1993" t="s">
        <v>1888</v>
      </c>
      <c r="E32" s="1994" t="s">
        <v>1890</v>
      </c>
      <c r="F32" s="1994" t="s">
        <v>1889</v>
      </c>
      <c r="G32" s="1994" t="s">
        <v>1876</v>
      </c>
      <c r="H32" s="1994" t="s">
        <v>1877</v>
      </c>
      <c r="K32" t="s">
        <v>247</v>
      </c>
      <c r="L32">
        <v>400</v>
      </c>
      <c r="P32" s="747" t="s">
        <v>3178</v>
      </c>
      <c r="Q32" s="743"/>
      <c r="R32" s="524"/>
      <c r="S32" s="521">
        <v>1</v>
      </c>
    </row>
    <row r="33" spans="1:19" ht="14.25" customHeight="1">
      <c r="A33" s="1989"/>
      <c r="B33" s="1993"/>
      <c r="C33" s="1993"/>
      <c r="D33" s="1993"/>
      <c r="E33" s="1994"/>
      <c r="F33" s="1994"/>
      <c r="G33" s="1994"/>
      <c r="H33" s="1994"/>
      <c r="K33" t="s">
        <v>248</v>
      </c>
      <c r="L33">
        <v>41</v>
      </c>
      <c r="P33" s="742" t="s">
        <v>1060</v>
      </c>
      <c r="Q33" s="743" t="s">
        <v>732</v>
      </c>
      <c r="R33" s="524" t="s">
        <v>732</v>
      </c>
      <c r="S33" s="521">
        <v>1</v>
      </c>
    </row>
    <row r="34" spans="1:19">
      <c r="A34" s="1989"/>
      <c r="B34" s="1993"/>
      <c r="C34" s="1993"/>
      <c r="D34" s="1993"/>
      <c r="E34" s="1995">
        <f>+L16+L17+L18</f>
        <v>493525.25862068962</v>
      </c>
      <c r="F34" s="1996">
        <f>+L26</f>
        <v>537</v>
      </c>
      <c r="G34" s="1997">
        <f>+E34/F34</f>
        <v>919.04144994541832</v>
      </c>
      <c r="H34" s="1997">
        <v>974.55</v>
      </c>
      <c r="K34" t="s">
        <v>218</v>
      </c>
      <c r="L34">
        <v>37</v>
      </c>
      <c r="P34" s="747" t="s">
        <v>2891</v>
      </c>
      <c r="Q34" s="743"/>
      <c r="R34" s="524"/>
      <c r="S34" s="521">
        <v>1</v>
      </c>
    </row>
    <row r="35" spans="1:19" ht="15">
      <c r="A35" s="1989"/>
      <c r="B35" s="1993"/>
      <c r="C35" s="1993"/>
      <c r="D35" s="1993"/>
      <c r="E35" s="1995"/>
      <c r="F35" s="1996"/>
      <c r="G35" s="1997"/>
      <c r="H35" s="1997"/>
      <c r="K35" t="s">
        <v>251</v>
      </c>
      <c r="L35">
        <v>18</v>
      </c>
      <c r="O35" s="147"/>
      <c r="P35" s="742" t="s">
        <v>6422</v>
      </c>
      <c r="Q35" s="743"/>
      <c r="R35" s="524"/>
      <c r="S35" s="521">
        <v>1</v>
      </c>
    </row>
    <row r="36" spans="1:19" ht="15">
      <c r="A36" s="1989"/>
      <c r="B36" s="1993"/>
      <c r="C36" s="1993"/>
      <c r="D36" s="1993"/>
      <c r="E36" s="1995"/>
      <c r="F36" s="1996"/>
      <c r="G36" s="1997"/>
      <c r="H36" s="1997"/>
      <c r="K36" s="73" t="s">
        <v>95</v>
      </c>
      <c r="L36" s="75">
        <v>100</v>
      </c>
      <c r="M36" s="680"/>
      <c r="N36" s="135"/>
      <c r="P36" s="742" t="s">
        <v>1061</v>
      </c>
      <c r="Q36" s="743" t="s">
        <v>732</v>
      </c>
      <c r="R36" s="524" t="s">
        <v>732</v>
      </c>
      <c r="S36" s="521">
        <v>1</v>
      </c>
    </row>
    <row r="37" spans="1:19" ht="15">
      <c r="A37" s="1992"/>
      <c r="B37" s="1993"/>
      <c r="C37" s="1993"/>
      <c r="D37" s="1993"/>
      <c r="E37" s="1995"/>
      <c r="F37" s="1996"/>
      <c r="G37" s="1997"/>
      <c r="H37" s="1997"/>
      <c r="K37" s="73" t="s">
        <v>2832</v>
      </c>
      <c r="L37" s="13">
        <f>SUM(L32:L36)</f>
        <v>596</v>
      </c>
      <c r="M37" s="4"/>
      <c r="N37" s="4"/>
      <c r="P37" s="742" t="s">
        <v>1062</v>
      </c>
      <c r="Q37" s="748" t="s">
        <v>732</v>
      </c>
      <c r="R37" s="526">
        <v>1</v>
      </c>
      <c r="S37" s="525" t="s">
        <v>732</v>
      </c>
    </row>
    <row r="38" spans="1:19">
      <c r="A38" s="1991"/>
      <c r="B38" s="1991"/>
      <c r="C38" s="1991"/>
      <c r="D38" s="1991"/>
      <c r="E38" s="1991"/>
      <c r="F38" s="1991"/>
      <c r="G38" s="1991"/>
      <c r="H38" s="1991"/>
      <c r="L38" s="125"/>
      <c r="N38" s="4"/>
      <c r="P38" s="747" t="s">
        <v>3179</v>
      </c>
      <c r="Q38" s="743"/>
      <c r="R38" s="524"/>
      <c r="S38" s="521">
        <v>1</v>
      </c>
    </row>
    <row r="39" spans="1:19">
      <c r="A39" s="1988" t="s">
        <v>1891</v>
      </c>
      <c r="B39" s="1993" t="s">
        <v>1892</v>
      </c>
      <c r="C39" s="1993" t="s">
        <v>1893</v>
      </c>
      <c r="D39" s="1993" t="s">
        <v>1894</v>
      </c>
      <c r="E39" s="1994" t="s">
        <v>1895</v>
      </c>
      <c r="F39" s="1994" t="s">
        <v>1889</v>
      </c>
      <c r="G39" s="1994" t="s">
        <v>1876</v>
      </c>
      <c r="H39" s="1994" t="s">
        <v>1877</v>
      </c>
      <c r="K39" s="135" t="s">
        <v>2834</v>
      </c>
      <c r="L39" s="141" t="s">
        <v>253</v>
      </c>
      <c r="M39" s="141" t="s">
        <v>252</v>
      </c>
      <c r="N39" s="4"/>
      <c r="P39" s="744" t="s">
        <v>1063</v>
      </c>
      <c r="Q39" s="748"/>
      <c r="R39" s="526">
        <v>1</v>
      </c>
      <c r="S39" s="525"/>
    </row>
    <row r="40" spans="1:19" ht="10.5" customHeight="1">
      <c r="A40" s="1989"/>
      <c r="B40" s="1993"/>
      <c r="C40" s="1993"/>
      <c r="D40" s="1993"/>
      <c r="E40" s="1994"/>
      <c r="F40" s="1994"/>
      <c r="G40" s="1994"/>
      <c r="H40" s="1994"/>
      <c r="K40" s="145" t="s">
        <v>51</v>
      </c>
      <c r="L40" s="146">
        <v>141014.65</v>
      </c>
      <c r="M40" s="125">
        <v>188980</v>
      </c>
      <c r="N40" s="4"/>
      <c r="P40" s="742" t="s">
        <v>5697</v>
      </c>
      <c r="Q40" s="743"/>
      <c r="R40" s="524"/>
      <c r="S40" s="521">
        <v>1</v>
      </c>
    </row>
    <row r="41" spans="1:19">
      <c r="A41" s="1989"/>
      <c r="B41" s="1993"/>
      <c r="C41" s="1993"/>
      <c r="D41" s="1993"/>
      <c r="E41" s="1990">
        <f>+L29</f>
        <v>1210017.7925</v>
      </c>
      <c r="F41" s="2011">
        <f>+L37</f>
        <v>596</v>
      </c>
      <c r="G41" s="1997">
        <f>+E41/F41</f>
        <v>2030.2311954697986</v>
      </c>
      <c r="H41" s="1997">
        <v>2979.55</v>
      </c>
      <c r="K41" t="s">
        <v>52</v>
      </c>
      <c r="L41" s="125">
        <v>167990.86</v>
      </c>
      <c r="M41" s="125">
        <v>205423</v>
      </c>
      <c r="N41" s="4"/>
      <c r="P41" s="747" t="s">
        <v>3180</v>
      </c>
      <c r="Q41" s="743"/>
      <c r="R41" s="524"/>
      <c r="S41" s="521">
        <v>1</v>
      </c>
    </row>
    <row r="42" spans="1:19" ht="15">
      <c r="A42" s="1989"/>
      <c r="B42" s="1993"/>
      <c r="C42" s="1993"/>
      <c r="D42" s="1993"/>
      <c r="E42" s="1990"/>
      <c r="F42" s="2012"/>
      <c r="G42" s="1997"/>
      <c r="H42" s="1997"/>
      <c r="K42" t="s">
        <v>53</v>
      </c>
      <c r="L42" s="4">
        <v>168020.29</v>
      </c>
      <c r="M42" s="4">
        <v>204172</v>
      </c>
      <c r="N42" s="144"/>
      <c r="P42" s="742" t="s">
        <v>1064</v>
      </c>
      <c r="Q42" s="743" t="s">
        <v>732</v>
      </c>
      <c r="R42" s="524" t="s">
        <v>732</v>
      </c>
      <c r="S42" s="521">
        <v>1</v>
      </c>
    </row>
    <row r="43" spans="1:19" ht="15">
      <c r="A43" s="1989"/>
      <c r="B43" s="1993"/>
      <c r="C43" s="1993"/>
      <c r="D43" s="1993"/>
      <c r="E43" s="1990"/>
      <c r="F43" s="2012"/>
      <c r="G43" s="1997"/>
      <c r="H43" s="1997"/>
      <c r="K43" t="s">
        <v>54</v>
      </c>
      <c r="L43" s="4">
        <v>193834.39</v>
      </c>
      <c r="M43" s="4">
        <v>201046.39999999999</v>
      </c>
      <c r="N43" s="147"/>
      <c r="P43" s="742" t="s">
        <v>1065</v>
      </c>
      <c r="Q43" s="743" t="s">
        <v>732</v>
      </c>
      <c r="R43" s="524" t="s">
        <v>732</v>
      </c>
      <c r="S43" s="521">
        <v>1</v>
      </c>
    </row>
    <row r="44" spans="1:19" ht="16.5" customHeight="1">
      <c r="A44" s="1992"/>
      <c r="B44" s="1993"/>
      <c r="C44" s="1993"/>
      <c r="D44" s="1993"/>
      <c r="E44" s="1990"/>
      <c r="F44" s="2012"/>
      <c r="G44" s="1997"/>
      <c r="H44" s="1997"/>
      <c r="K44" t="s">
        <v>55</v>
      </c>
      <c r="L44" s="4">
        <v>199661</v>
      </c>
      <c r="M44" s="4">
        <v>241396</v>
      </c>
      <c r="P44" s="747" t="s">
        <v>3181</v>
      </c>
      <c r="Q44" s="743"/>
      <c r="R44" s="524"/>
      <c r="S44" s="521">
        <v>1</v>
      </c>
    </row>
    <row r="45" spans="1:19" ht="15">
      <c r="A45" s="1991"/>
      <c r="B45" s="1991"/>
      <c r="C45" s="1991"/>
      <c r="D45" s="1991"/>
      <c r="E45" s="1991"/>
      <c r="F45" s="1991"/>
      <c r="G45" s="1991"/>
      <c r="H45" s="1991"/>
      <c r="K45" s="682" t="s">
        <v>56</v>
      </c>
      <c r="L45" s="4">
        <v>242294.9</v>
      </c>
      <c r="M45" s="4">
        <v>270049.90000000002</v>
      </c>
      <c r="P45" s="742" t="s">
        <v>1046</v>
      </c>
      <c r="Q45" s="743" t="s">
        <v>732</v>
      </c>
      <c r="R45" s="524" t="s">
        <v>732</v>
      </c>
      <c r="S45" s="521">
        <v>1</v>
      </c>
    </row>
    <row r="46" spans="1:19" ht="12.75" customHeight="1">
      <c r="A46" s="1988" t="s">
        <v>1896</v>
      </c>
      <c r="B46" s="2009" t="s">
        <v>1897</v>
      </c>
      <c r="C46" s="2001" t="s">
        <v>1898</v>
      </c>
      <c r="D46" s="2001" t="s">
        <v>1899</v>
      </c>
      <c r="E46" s="1994" t="s">
        <v>1900</v>
      </c>
      <c r="F46" s="1994" t="s">
        <v>1901</v>
      </c>
      <c r="G46" s="1994" t="s">
        <v>1876</v>
      </c>
      <c r="H46" s="1994" t="s">
        <v>1877</v>
      </c>
      <c r="K46" t="s">
        <v>57</v>
      </c>
      <c r="L46" s="4">
        <v>199872.48</v>
      </c>
      <c r="M46" s="4">
        <v>221994.1</v>
      </c>
      <c r="P46" s="742" t="s">
        <v>1044</v>
      </c>
      <c r="Q46" s="748"/>
      <c r="R46" s="526">
        <v>1</v>
      </c>
      <c r="S46" s="525"/>
    </row>
    <row r="47" spans="1:19" ht="27.75" customHeight="1">
      <c r="A47" s="1989"/>
      <c r="B47" s="2009"/>
      <c r="C47" s="2002"/>
      <c r="D47" s="2002"/>
      <c r="E47" s="1994"/>
      <c r="F47" s="1994"/>
      <c r="G47" s="1994"/>
      <c r="H47" s="1994"/>
      <c r="K47" t="s">
        <v>58</v>
      </c>
      <c r="L47" s="127">
        <v>191881.94</v>
      </c>
      <c r="M47" s="127">
        <v>230676.26</v>
      </c>
      <c r="N47" s="148"/>
      <c r="P47" s="742" t="s">
        <v>1066</v>
      </c>
      <c r="Q47" s="743" t="s">
        <v>732</v>
      </c>
      <c r="R47" s="524" t="s">
        <v>732</v>
      </c>
      <c r="S47" s="521">
        <v>1</v>
      </c>
    </row>
    <row r="48" spans="1:19" ht="15">
      <c r="A48" s="1989"/>
      <c r="B48" s="2009"/>
      <c r="C48" s="2002"/>
      <c r="D48" s="2002"/>
      <c r="E48" s="2010">
        <f>+L52</f>
        <v>2228950.5099999998</v>
      </c>
      <c r="F48" s="2010">
        <f>+M52</f>
        <v>2672937.79</v>
      </c>
      <c r="G48" s="2015">
        <f>+E48/F48</f>
        <v>0.83389539342776842</v>
      </c>
      <c r="H48" s="2016">
        <v>0.9</v>
      </c>
      <c r="K48" s="73" t="s">
        <v>59</v>
      </c>
      <c r="L48" s="125">
        <v>193784.19</v>
      </c>
      <c r="M48" s="125">
        <v>221395</v>
      </c>
      <c r="P48" s="742" t="s">
        <v>1067</v>
      </c>
      <c r="Q48" s="743" t="s">
        <v>732</v>
      </c>
      <c r="R48" s="524" t="s">
        <v>732</v>
      </c>
      <c r="S48" s="521">
        <v>1</v>
      </c>
    </row>
    <row r="49" spans="1:19" ht="15">
      <c r="A49" s="1989"/>
      <c r="B49" s="2009"/>
      <c r="C49" s="2002"/>
      <c r="D49" s="2002"/>
      <c r="E49" s="2010"/>
      <c r="F49" s="2010"/>
      <c r="G49" s="2015"/>
      <c r="H49" s="2017"/>
      <c r="K49" t="s">
        <v>60</v>
      </c>
      <c r="L49" s="125">
        <v>181630.99</v>
      </c>
      <c r="M49" s="125">
        <v>234161.13</v>
      </c>
      <c r="P49" s="742" t="s">
        <v>1068</v>
      </c>
      <c r="Q49" s="743" t="s">
        <v>732</v>
      </c>
      <c r="R49" s="524" t="s">
        <v>732</v>
      </c>
      <c r="S49" s="521">
        <v>1</v>
      </c>
    </row>
    <row r="50" spans="1:19" ht="15">
      <c r="A50" s="1989"/>
      <c r="B50" s="2009"/>
      <c r="C50" s="2002"/>
      <c r="D50" s="2002"/>
      <c r="E50" s="2010"/>
      <c r="F50" s="2010"/>
      <c r="G50" s="2015"/>
      <c r="H50" s="2017"/>
      <c r="K50" t="s">
        <v>61</v>
      </c>
      <c r="L50" s="125">
        <v>181027.69</v>
      </c>
      <c r="M50" s="125">
        <v>238417</v>
      </c>
      <c r="P50" s="742" t="s">
        <v>1069</v>
      </c>
      <c r="Q50" s="748">
        <v>1</v>
      </c>
      <c r="R50" s="526"/>
      <c r="S50" s="525"/>
    </row>
    <row r="51" spans="1:19" ht="12" customHeight="1">
      <c r="A51" s="1992"/>
      <c r="B51" s="2009"/>
      <c r="C51" s="2003"/>
      <c r="D51" s="2003"/>
      <c r="E51" s="2010"/>
      <c r="F51" s="2010"/>
      <c r="G51" s="2015"/>
      <c r="H51" s="2017"/>
      <c r="K51" t="s">
        <v>62</v>
      </c>
      <c r="L51" s="125">
        <v>167937.13</v>
      </c>
      <c r="M51" s="125">
        <v>215227</v>
      </c>
      <c r="P51" s="747" t="s">
        <v>3182</v>
      </c>
      <c r="Q51" s="743" t="s">
        <v>732</v>
      </c>
      <c r="R51" s="524" t="s">
        <v>732</v>
      </c>
      <c r="S51" s="521">
        <v>1</v>
      </c>
    </row>
    <row r="52" spans="1:19" ht="13.5" customHeight="1">
      <c r="A52" s="1991"/>
      <c r="B52" s="1991"/>
      <c r="C52" s="1991"/>
      <c r="D52" s="1991"/>
      <c r="E52" s="1991"/>
      <c r="F52" s="1991"/>
      <c r="G52" s="1991"/>
      <c r="H52" s="1991"/>
      <c r="K52" s="135" t="s">
        <v>87</v>
      </c>
      <c r="L52" s="683">
        <f>SUM(L40:L51)</f>
        <v>2228950.5099999998</v>
      </c>
      <c r="M52" s="683">
        <f>SUM(M40:M51)</f>
        <v>2672937.79</v>
      </c>
      <c r="P52" s="742" t="s">
        <v>1070</v>
      </c>
      <c r="Q52" s="743" t="s">
        <v>732</v>
      </c>
      <c r="R52" s="524" t="s">
        <v>732</v>
      </c>
      <c r="S52" s="521">
        <v>1</v>
      </c>
    </row>
    <row r="53" spans="1:19" ht="45" customHeight="1">
      <c r="A53" s="2004" t="s">
        <v>255</v>
      </c>
      <c r="B53" s="2001" t="s">
        <v>1902</v>
      </c>
      <c r="C53" s="2007" t="s">
        <v>1903</v>
      </c>
      <c r="D53" s="2007" t="s">
        <v>1904</v>
      </c>
      <c r="E53" s="664" t="s">
        <v>1906</v>
      </c>
      <c r="F53" s="664" t="s">
        <v>1905</v>
      </c>
      <c r="G53" s="665" t="s">
        <v>1876</v>
      </c>
      <c r="H53" s="665" t="s">
        <v>1877</v>
      </c>
      <c r="P53" s="747" t="s">
        <v>2888</v>
      </c>
      <c r="Q53" s="743" t="s">
        <v>732</v>
      </c>
      <c r="R53" s="524" t="s">
        <v>732</v>
      </c>
      <c r="S53" s="521">
        <v>1</v>
      </c>
    </row>
    <row r="54" spans="1:19" ht="39.75" customHeight="1">
      <c r="A54" s="2005"/>
      <c r="B54" s="2006"/>
      <c r="C54" s="2008"/>
      <c r="D54" s="2008"/>
      <c r="E54" s="151">
        <f>+'VARIACIONES EGRESOS'!R59</f>
        <v>24272698.580000002</v>
      </c>
      <c r="F54" s="151">
        <f>+'VARIACIONES EGRESOS'!R145</f>
        <v>52183974.450000003</v>
      </c>
      <c r="G54" s="152">
        <f>+E54/F54</f>
        <v>0.46513702407348928</v>
      </c>
      <c r="H54" s="152">
        <v>0.309</v>
      </c>
      <c r="P54" s="742" t="s">
        <v>1071</v>
      </c>
      <c r="Q54" s="743" t="s">
        <v>732</v>
      </c>
      <c r="R54" s="524" t="s">
        <v>732</v>
      </c>
      <c r="S54" s="521">
        <v>1</v>
      </c>
    </row>
    <row r="55" spans="1:19" ht="12.75" customHeight="1">
      <c r="A55" s="1991"/>
      <c r="B55" s="1991"/>
      <c r="C55" s="1991"/>
      <c r="D55" s="1991"/>
      <c r="E55" s="1991"/>
      <c r="F55" s="1991"/>
      <c r="G55" s="1991"/>
      <c r="H55" s="1991"/>
      <c r="P55" s="742" t="s">
        <v>6423</v>
      </c>
      <c r="Q55" s="743"/>
      <c r="R55" s="524"/>
      <c r="S55" s="521">
        <v>1</v>
      </c>
    </row>
    <row r="56" spans="1:19" ht="42" customHeight="1">
      <c r="A56" s="2004" t="s">
        <v>1907</v>
      </c>
      <c r="B56" s="2001" t="s">
        <v>1908</v>
      </c>
      <c r="C56" s="2007" t="s">
        <v>1909</v>
      </c>
      <c r="D56" s="2007" t="s">
        <v>1910</v>
      </c>
      <c r="E56" s="664" t="s">
        <v>1912</v>
      </c>
      <c r="F56" s="664" t="s">
        <v>1911</v>
      </c>
      <c r="G56" s="665" t="s">
        <v>1876</v>
      </c>
      <c r="H56" s="665" t="s">
        <v>1877</v>
      </c>
      <c r="P56" s="742" t="s">
        <v>1803</v>
      </c>
      <c r="Q56" s="743"/>
      <c r="R56" s="524"/>
      <c r="S56" s="521">
        <v>1</v>
      </c>
    </row>
    <row r="57" spans="1:19" ht="39.75" customHeight="1">
      <c r="A57" s="2005"/>
      <c r="B57" s="2006"/>
      <c r="C57" s="2008"/>
      <c r="D57" s="2008"/>
      <c r="E57" s="666">
        <v>12</v>
      </c>
      <c r="F57" s="666">
        <f>'VARIACIONES EGRESOS'!B203</f>
        <v>23</v>
      </c>
      <c r="G57" s="728">
        <f>+E57/F57</f>
        <v>0.52173913043478259</v>
      </c>
      <c r="H57" s="667">
        <v>1</v>
      </c>
      <c r="P57" s="742" t="s">
        <v>1072</v>
      </c>
      <c r="Q57" s="743" t="s">
        <v>732</v>
      </c>
      <c r="R57" s="524" t="s">
        <v>732</v>
      </c>
      <c r="S57" s="521">
        <v>1</v>
      </c>
    </row>
    <row r="58" spans="1:19" ht="15">
      <c r="P58" s="742" t="s">
        <v>1073</v>
      </c>
      <c r="Q58" s="743" t="s">
        <v>732</v>
      </c>
      <c r="R58" s="524" t="s">
        <v>732</v>
      </c>
      <c r="S58" s="521">
        <v>1</v>
      </c>
    </row>
    <row r="59" spans="1:19" ht="1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128"/>
      <c r="P59" s="742" t="s">
        <v>1074</v>
      </c>
      <c r="Q59" s="743" t="s">
        <v>732</v>
      </c>
      <c r="R59" s="524" t="s">
        <v>732</v>
      </c>
      <c r="S59" s="521">
        <v>1</v>
      </c>
    </row>
    <row r="60" spans="1:19" ht="1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124"/>
      <c r="P60" s="742" t="s">
        <v>1075</v>
      </c>
      <c r="Q60" s="743" t="s">
        <v>732</v>
      </c>
      <c r="R60" s="524" t="s">
        <v>732</v>
      </c>
      <c r="S60" s="521">
        <v>1</v>
      </c>
    </row>
    <row r="61" spans="1:19" ht="1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124"/>
      <c r="P61" s="742" t="s">
        <v>5698</v>
      </c>
      <c r="Q61" s="748">
        <v>1</v>
      </c>
      <c r="R61" s="526"/>
      <c r="S61" s="525"/>
    </row>
    <row r="62" spans="1:19" ht="15">
      <c r="A62" s="655" t="s">
        <v>1819</v>
      </c>
      <c r="B62" s="656"/>
      <c r="P62" s="742" t="s">
        <v>1076</v>
      </c>
      <c r="Q62" s="748">
        <v>1</v>
      </c>
      <c r="R62" s="526"/>
      <c r="S62" s="525"/>
    </row>
    <row r="63" spans="1:19" ht="15">
      <c r="A63" s="569"/>
      <c r="B63" s="104"/>
      <c r="P63" s="742" t="s">
        <v>1077</v>
      </c>
      <c r="Q63" s="748"/>
      <c r="R63" s="526">
        <v>1</v>
      </c>
      <c r="S63" s="525"/>
    </row>
    <row r="64" spans="1:19" ht="15">
      <c r="D64" s="565" t="s">
        <v>1825</v>
      </c>
      <c r="E64" s="565" t="s">
        <v>1826</v>
      </c>
      <c r="P64" s="742" t="s">
        <v>1078</v>
      </c>
      <c r="Q64" s="743" t="s">
        <v>732</v>
      </c>
      <c r="R64" s="524" t="s">
        <v>732</v>
      </c>
      <c r="S64" s="521">
        <v>1</v>
      </c>
    </row>
    <row r="65" spans="1:19" ht="15">
      <c r="A65" s="135" t="s">
        <v>1827</v>
      </c>
      <c r="D65" s="4">
        <f>+BALANCE!E38</f>
        <v>48610699.289999999</v>
      </c>
      <c r="E65" s="4">
        <f>+BALANCE!B43</f>
        <v>1205776920.9100003</v>
      </c>
      <c r="F65" s="566">
        <f>+D65/E65</f>
        <v>4.0314836390560112E-2</v>
      </c>
      <c r="P65" s="742" t="s">
        <v>1079</v>
      </c>
      <c r="Q65" s="743" t="s">
        <v>732</v>
      </c>
      <c r="R65" s="524" t="s">
        <v>732</v>
      </c>
      <c r="S65" s="521">
        <v>1</v>
      </c>
    </row>
    <row r="66" spans="1:19" ht="15">
      <c r="A66" s="135"/>
      <c r="D66" s="4"/>
      <c r="E66" s="4"/>
      <c r="F66" s="568"/>
      <c r="P66" s="742" t="s">
        <v>5699</v>
      </c>
      <c r="Q66" s="743"/>
      <c r="R66" s="524"/>
      <c r="S66" s="521">
        <v>1</v>
      </c>
    </row>
    <row r="67" spans="1:19" ht="15">
      <c r="A67" s="135"/>
      <c r="D67" s="565" t="s">
        <v>4046</v>
      </c>
      <c r="E67" s="565" t="s">
        <v>1821</v>
      </c>
      <c r="F67" s="135"/>
      <c r="P67" s="742" t="s">
        <v>2883</v>
      </c>
      <c r="Q67" s="743" t="s">
        <v>732</v>
      </c>
      <c r="R67" s="524" t="s">
        <v>732</v>
      </c>
      <c r="S67" s="521">
        <v>1</v>
      </c>
    </row>
    <row r="68" spans="1:19" ht="15">
      <c r="A68" s="135" t="s">
        <v>1820</v>
      </c>
      <c r="D68" s="4">
        <f>'PRESUP ORIGINAL'!P132+'PRESUP ORIGINAL'!P141+'PRESUP ORIGINAL'!P184</f>
        <v>277781283.41649699</v>
      </c>
      <c r="E68" s="4">
        <f>+'VARIACIONES EGRESOS'!P145+'VARIACIONES EGRESOS'!P154+'VARIACIONES EGRESOS'!P205</f>
        <v>299110117.41649699</v>
      </c>
      <c r="F68" s="566">
        <f>(+E68/D68)-1</f>
        <v>7.6782833377654791E-2</v>
      </c>
      <c r="P68" s="742" t="s">
        <v>5700</v>
      </c>
      <c r="Q68" s="748">
        <v>1</v>
      </c>
      <c r="R68" s="526"/>
      <c r="S68" s="525"/>
    </row>
    <row r="69" spans="1:19" ht="15">
      <c r="A69" s="135"/>
      <c r="F69" s="135"/>
      <c r="P69" s="742" t="s">
        <v>6424</v>
      </c>
      <c r="Q69" s="743"/>
      <c r="R69" s="524"/>
      <c r="S69" s="521">
        <v>1</v>
      </c>
    </row>
    <row r="70" spans="1:19" ht="15">
      <c r="A70" s="135"/>
      <c r="D70" s="565" t="s">
        <v>1823</v>
      </c>
      <c r="E70" s="565" t="s">
        <v>1824</v>
      </c>
      <c r="F70" s="135"/>
      <c r="P70" s="742" t="s">
        <v>5701</v>
      </c>
      <c r="Q70" s="743"/>
      <c r="R70" s="524"/>
      <c r="S70" s="521">
        <v>1</v>
      </c>
    </row>
    <row r="71" spans="1:19" ht="15">
      <c r="A71" s="135" t="s">
        <v>1822</v>
      </c>
      <c r="D71" s="4">
        <f>'VARIACIONES EGRESOS'!P205-'VARIACIONES EGRESOS'!P159</f>
        <v>102131344</v>
      </c>
      <c r="E71" s="4">
        <f>'VARIACIONES EGRESOS'!R205-'VARIACIONES EGRESOS'!R159</f>
        <v>60040530.879999988</v>
      </c>
      <c r="F71" s="566">
        <f>+E71/D71</f>
        <v>0.58787565627257377</v>
      </c>
      <c r="P71" s="742" t="s">
        <v>2884</v>
      </c>
      <c r="Q71" s="743" t="s">
        <v>732</v>
      </c>
      <c r="R71" s="524" t="s">
        <v>732</v>
      </c>
      <c r="S71" s="521">
        <v>1</v>
      </c>
    </row>
    <row r="72" spans="1:19" ht="15">
      <c r="P72" s="742" t="s">
        <v>1081</v>
      </c>
      <c r="Q72" s="743" t="s">
        <v>732</v>
      </c>
      <c r="R72" s="524" t="s">
        <v>732</v>
      </c>
      <c r="S72" s="521">
        <v>1</v>
      </c>
    </row>
    <row r="73" spans="1:19" ht="15">
      <c r="P73" s="742" t="s">
        <v>6425</v>
      </c>
      <c r="Q73" s="743"/>
      <c r="R73" s="524"/>
      <c r="S73" s="521">
        <v>1</v>
      </c>
    </row>
    <row r="74" spans="1:19" ht="15">
      <c r="P74" s="742" t="s">
        <v>1082</v>
      </c>
      <c r="Q74" s="743" t="s">
        <v>732</v>
      </c>
      <c r="R74" s="524" t="s">
        <v>732</v>
      </c>
      <c r="S74" s="521">
        <v>1</v>
      </c>
    </row>
    <row r="75" spans="1:19" ht="15">
      <c r="E75" s="74"/>
      <c r="P75" s="742" t="s">
        <v>5702</v>
      </c>
      <c r="Q75" s="743"/>
      <c r="R75" s="524" t="s">
        <v>732</v>
      </c>
      <c r="S75" s="521">
        <v>1</v>
      </c>
    </row>
    <row r="76" spans="1:19" ht="15">
      <c r="P76" s="742" t="s">
        <v>1083</v>
      </c>
      <c r="Q76" s="743" t="s">
        <v>732</v>
      </c>
      <c r="R76" s="524" t="s">
        <v>732</v>
      </c>
      <c r="S76" s="521">
        <v>1</v>
      </c>
    </row>
    <row r="77" spans="1:19" ht="15">
      <c r="P77" s="742" t="s">
        <v>1705</v>
      </c>
      <c r="Q77" s="743"/>
      <c r="R77" s="524"/>
      <c r="S77" s="521">
        <v>1</v>
      </c>
    </row>
    <row r="78" spans="1:19">
      <c r="P78" s="744" t="s">
        <v>2885</v>
      </c>
      <c r="Q78" s="743" t="s">
        <v>732</v>
      </c>
      <c r="R78" s="524" t="s">
        <v>732</v>
      </c>
      <c r="S78" s="521">
        <v>1</v>
      </c>
    </row>
    <row r="79" spans="1:19">
      <c r="P79" s="744" t="s">
        <v>2886</v>
      </c>
      <c r="Q79" s="743" t="s">
        <v>732</v>
      </c>
      <c r="R79" s="524" t="s">
        <v>732</v>
      </c>
      <c r="S79" s="521">
        <v>1</v>
      </c>
    </row>
    <row r="80" spans="1:19" ht="15">
      <c r="P80" s="742" t="s">
        <v>5703</v>
      </c>
      <c r="Q80" s="743"/>
      <c r="R80" s="524"/>
      <c r="S80" s="521">
        <v>1</v>
      </c>
    </row>
    <row r="81" spans="16:19" ht="15">
      <c r="P81" s="742" t="s">
        <v>2887</v>
      </c>
      <c r="Q81" s="743" t="s">
        <v>732</v>
      </c>
      <c r="R81" s="524" t="s">
        <v>732</v>
      </c>
      <c r="S81" s="521">
        <v>1</v>
      </c>
    </row>
    <row r="82" spans="16:19" ht="15">
      <c r="P82" s="742" t="s">
        <v>1031</v>
      </c>
      <c r="Q82" s="743" t="s">
        <v>732</v>
      </c>
      <c r="R82" s="524" t="s">
        <v>732</v>
      </c>
      <c r="S82" s="521">
        <v>1</v>
      </c>
    </row>
    <row r="83" spans="16:19" ht="15">
      <c r="P83" s="742" t="s">
        <v>1805</v>
      </c>
      <c r="Q83" s="743"/>
      <c r="R83" s="524"/>
      <c r="S83" s="521">
        <v>1</v>
      </c>
    </row>
    <row r="84" spans="16:19" ht="15">
      <c r="P84" s="742" t="s">
        <v>1084</v>
      </c>
      <c r="Q84" s="748"/>
      <c r="R84" s="526">
        <v>1</v>
      </c>
      <c r="S84" s="525"/>
    </row>
    <row r="85" spans="16:19">
      <c r="P85" s="747" t="s">
        <v>3183</v>
      </c>
      <c r="Q85" s="743"/>
      <c r="R85" s="524"/>
      <c r="S85" s="521">
        <v>1</v>
      </c>
    </row>
    <row r="86" spans="16:19" ht="15">
      <c r="P86" s="742" t="s">
        <v>1085</v>
      </c>
      <c r="Q86" s="743" t="s">
        <v>732</v>
      </c>
      <c r="R86" s="524" t="s">
        <v>732</v>
      </c>
      <c r="S86" s="521">
        <v>1</v>
      </c>
    </row>
    <row r="87" spans="16:19" ht="15">
      <c r="P87" s="742" t="s">
        <v>1086</v>
      </c>
      <c r="Q87" s="743" t="s">
        <v>732</v>
      </c>
      <c r="R87" s="524" t="s">
        <v>732</v>
      </c>
      <c r="S87" s="521">
        <v>1</v>
      </c>
    </row>
    <row r="88" spans="16:19" ht="15">
      <c r="P88" s="742" t="s">
        <v>1087</v>
      </c>
      <c r="Q88" s="743" t="s">
        <v>732</v>
      </c>
      <c r="R88" s="524" t="s">
        <v>732</v>
      </c>
      <c r="S88" s="521">
        <v>1</v>
      </c>
    </row>
    <row r="89" spans="16:19" ht="15">
      <c r="P89" s="742" t="s">
        <v>5704</v>
      </c>
      <c r="Q89" s="748">
        <v>1</v>
      </c>
      <c r="R89" s="526"/>
      <c r="S89" s="525"/>
    </row>
    <row r="90" spans="16:19" ht="15">
      <c r="P90" s="742" t="s">
        <v>5705</v>
      </c>
      <c r="Q90" s="743"/>
      <c r="R90" s="524"/>
      <c r="S90" s="521">
        <v>1</v>
      </c>
    </row>
    <row r="91" spans="16:19" ht="15">
      <c r="P91" s="742" t="s">
        <v>1088</v>
      </c>
      <c r="Q91" s="743" t="s">
        <v>732</v>
      </c>
      <c r="R91" s="524" t="s">
        <v>732</v>
      </c>
      <c r="S91" s="521">
        <v>1</v>
      </c>
    </row>
    <row r="92" spans="16:19" ht="15">
      <c r="P92" s="742" t="s">
        <v>1089</v>
      </c>
      <c r="Q92" s="743" t="s">
        <v>732</v>
      </c>
      <c r="R92" s="524" t="s">
        <v>732</v>
      </c>
      <c r="S92" s="521">
        <v>1</v>
      </c>
    </row>
    <row r="93" spans="16:19" ht="15">
      <c r="P93" s="742" t="s">
        <v>1090</v>
      </c>
      <c r="Q93" s="743" t="s">
        <v>732</v>
      </c>
      <c r="R93" s="524" t="s">
        <v>732</v>
      </c>
      <c r="S93" s="521">
        <v>1</v>
      </c>
    </row>
    <row r="94" spans="16:19" ht="15">
      <c r="P94" s="742" t="s">
        <v>1091</v>
      </c>
      <c r="Q94" s="748">
        <v>1</v>
      </c>
      <c r="R94" s="526"/>
      <c r="S94" s="525"/>
    </row>
    <row r="95" spans="16:19" ht="15">
      <c r="P95" s="742" t="s">
        <v>3196</v>
      </c>
      <c r="Q95" s="743"/>
      <c r="R95" s="524"/>
      <c r="S95" s="521">
        <v>1</v>
      </c>
    </row>
    <row r="96" spans="16:19" ht="15">
      <c r="P96" s="742" t="s">
        <v>6426</v>
      </c>
      <c r="Q96" s="743"/>
      <c r="R96" s="524"/>
      <c r="S96" s="521">
        <v>1</v>
      </c>
    </row>
    <row r="97" spans="16:19" ht="15">
      <c r="P97" s="742" t="s">
        <v>3188</v>
      </c>
      <c r="Q97" s="743"/>
      <c r="R97" s="524"/>
      <c r="S97" s="521">
        <v>1</v>
      </c>
    </row>
    <row r="98" spans="16:19" ht="15">
      <c r="P98" s="742" t="s">
        <v>1092</v>
      </c>
      <c r="Q98" s="743" t="s">
        <v>732</v>
      </c>
      <c r="R98" s="524" t="s">
        <v>732</v>
      </c>
      <c r="S98" s="521">
        <v>1</v>
      </c>
    </row>
    <row r="99" spans="16:19" ht="15">
      <c r="P99" s="742" t="s">
        <v>1093</v>
      </c>
      <c r="Q99" s="748"/>
      <c r="R99" s="526">
        <v>1</v>
      </c>
      <c r="S99" s="525"/>
    </row>
    <row r="100" spans="16:19" ht="15">
      <c r="P100" s="742" t="s">
        <v>1094</v>
      </c>
      <c r="Q100" s="743" t="s">
        <v>732</v>
      </c>
      <c r="R100" s="524" t="s">
        <v>732</v>
      </c>
      <c r="S100" s="521">
        <v>1</v>
      </c>
    </row>
    <row r="101" spans="16:19">
      <c r="P101" s="744" t="s">
        <v>1095</v>
      </c>
      <c r="Q101" s="743" t="s">
        <v>732</v>
      </c>
      <c r="R101" s="524" t="s">
        <v>732</v>
      </c>
      <c r="S101" s="521">
        <v>1</v>
      </c>
    </row>
    <row r="102" spans="16:19">
      <c r="P102" s="747" t="s">
        <v>2890</v>
      </c>
      <c r="Q102" s="743" t="s">
        <v>732</v>
      </c>
      <c r="R102" s="524" t="s">
        <v>732</v>
      </c>
      <c r="S102" s="521">
        <v>1</v>
      </c>
    </row>
    <row r="103" spans="16:19">
      <c r="P103" s="744" t="s">
        <v>1096</v>
      </c>
      <c r="Q103" s="743" t="s">
        <v>1097</v>
      </c>
      <c r="R103" s="524" t="s">
        <v>732</v>
      </c>
      <c r="S103" s="521">
        <v>1</v>
      </c>
    </row>
    <row r="104" spans="16:19" ht="15">
      <c r="P104" s="742" t="s">
        <v>5706</v>
      </c>
      <c r="Q104" s="748">
        <v>1</v>
      </c>
      <c r="R104" s="526"/>
      <c r="S104" s="525"/>
    </row>
    <row r="105" spans="16:19" ht="15">
      <c r="P105" s="742" t="s">
        <v>1098</v>
      </c>
      <c r="Q105" s="743" t="s">
        <v>732</v>
      </c>
      <c r="R105" s="524" t="s">
        <v>732</v>
      </c>
      <c r="S105" s="521">
        <v>1</v>
      </c>
    </row>
    <row r="106" spans="16:19" ht="15">
      <c r="P106" s="742" t="s">
        <v>1305</v>
      </c>
      <c r="Q106" s="743"/>
      <c r="R106" s="524"/>
      <c r="S106" s="521">
        <v>1</v>
      </c>
    </row>
    <row r="107" spans="16:19" ht="15">
      <c r="P107" s="742" t="s">
        <v>1099</v>
      </c>
      <c r="Q107" s="743" t="s">
        <v>732</v>
      </c>
      <c r="R107" s="524" t="s">
        <v>732</v>
      </c>
      <c r="S107" s="521">
        <v>1</v>
      </c>
    </row>
    <row r="108" spans="16:19" ht="15">
      <c r="P108" s="742" t="s">
        <v>3187</v>
      </c>
      <c r="Q108" s="743"/>
      <c r="R108" s="524"/>
      <c r="S108" s="521">
        <v>1</v>
      </c>
    </row>
    <row r="109" spans="16:19" ht="15">
      <c r="P109" s="742" t="s">
        <v>1100</v>
      </c>
      <c r="Q109" s="743" t="s">
        <v>732</v>
      </c>
      <c r="R109" s="524" t="s">
        <v>732</v>
      </c>
      <c r="S109" s="521">
        <v>1</v>
      </c>
    </row>
    <row r="110" spans="16:19">
      <c r="P110" s="747" t="s">
        <v>3184</v>
      </c>
      <c r="Q110" s="743"/>
      <c r="R110" s="524"/>
      <c r="S110" s="521">
        <v>1</v>
      </c>
    </row>
    <row r="111" spans="16:19" ht="15">
      <c r="P111" s="742" t="s">
        <v>1306</v>
      </c>
      <c r="Q111" s="743"/>
      <c r="R111" s="524"/>
      <c r="S111" s="521">
        <v>1</v>
      </c>
    </row>
    <row r="112" spans="16:19" ht="15">
      <c r="P112" s="742" t="s">
        <v>5707</v>
      </c>
      <c r="Q112" s="748">
        <v>1</v>
      </c>
      <c r="R112" s="526"/>
      <c r="S112" s="525"/>
    </row>
    <row r="113" spans="16:19" ht="15">
      <c r="P113" s="742" t="s">
        <v>1101</v>
      </c>
      <c r="Q113" s="743" t="s">
        <v>732</v>
      </c>
      <c r="R113" s="524" t="s">
        <v>732</v>
      </c>
      <c r="S113" s="521">
        <v>1</v>
      </c>
    </row>
    <row r="114" spans="16:19">
      <c r="P114" s="747" t="s">
        <v>3185</v>
      </c>
      <c r="Q114" s="743"/>
      <c r="R114" s="524"/>
      <c r="S114" s="521">
        <v>1</v>
      </c>
    </row>
    <row r="115" spans="16:19" ht="15">
      <c r="P115" s="742" t="s">
        <v>1102</v>
      </c>
      <c r="Q115" s="743" t="s">
        <v>732</v>
      </c>
      <c r="R115" s="524" t="s">
        <v>732</v>
      </c>
      <c r="S115" s="521">
        <v>1</v>
      </c>
    </row>
    <row r="116" spans="16:19" ht="15">
      <c r="P116" s="742" t="s">
        <v>5708</v>
      </c>
      <c r="Q116" s="743"/>
      <c r="R116" s="524"/>
      <c r="S116" s="521">
        <v>1</v>
      </c>
    </row>
    <row r="117" spans="16:19" ht="15">
      <c r="P117" s="742" t="s">
        <v>5709</v>
      </c>
      <c r="Q117" s="743"/>
      <c r="R117" s="524"/>
      <c r="S117" s="521">
        <v>1</v>
      </c>
    </row>
    <row r="118" spans="16:19" ht="15">
      <c r="P118" s="742" t="s">
        <v>5710</v>
      </c>
      <c r="Q118" s="748">
        <v>1</v>
      </c>
      <c r="R118" s="526"/>
      <c r="S118" s="525"/>
    </row>
    <row r="119" spans="16:19">
      <c r="P119" s="744" t="s">
        <v>1103</v>
      </c>
      <c r="Q119" s="743" t="s">
        <v>732</v>
      </c>
      <c r="R119" s="524" t="s">
        <v>732</v>
      </c>
      <c r="S119" s="521">
        <v>1</v>
      </c>
    </row>
    <row r="120" spans="16:19" ht="15">
      <c r="P120" s="742" t="s">
        <v>1104</v>
      </c>
      <c r="Q120" s="743" t="s">
        <v>732</v>
      </c>
      <c r="R120" s="524" t="s">
        <v>732</v>
      </c>
      <c r="S120" s="521">
        <v>1</v>
      </c>
    </row>
    <row r="121" spans="16:19">
      <c r="P121" s="747" t="s">
        <v>2889</v>
      </c>
      <c r="Q121" s="743" t="s">
        <v>732</v>
      </c>
      <c r="R121" s="524" t="s">
        <v>732</v>
      </c>
      <c r="S121" s="521">
        <v>1</v>
      </c>
    </row>
    <row r="122" spans="16:19" ht="15">
      <c r="P122" s="742" t="s">
        <v>1806</v>
      </c>
      <c r="Q122" s="743"/>
      <c r="R122" s="524"/>
      <c r="S122" s="521">
        <v>1</v>
      </c>
    </row>
    <row r="123" spans="16:19" ht="15">
      <c r="P123" s="742" t="s">
        <v>1105</v>
      </c>
      <c r="Q123" s="743" t="s">
        <v>732</v>
      </c>
      <c r="R123" s="524" t="s">
        <v>732</v>
      </c>
      <c r="S123" s="521">
        <v>1</v>
      </c>
    </row>
    <row r="124" spans="16:19" ht="15">
      <c r="P124" s="742" t="s">
        <v>5711</v>
      </c>
      <c r="Q124" s="743"/>
      <c r="R124" s="524"/>
      <c r="S124" s="521">
        <v>1</v>
      </c>
    </row>
    <row r="125" spans="16:19" ht="15">
      <c r="P125" s="742" t="s">
        <v>1769</v>
      </c>
      <c r="Q125" s="743"/>
      <c r="R125" s="524"/>
      <c r="S125" s="521">
        <v>1</v>
      </c>
    </row>
    <row r="126" spans="16:19" ht="15">
      <c r="P126" s="742" t="s">
        <v>1106</v>
      </c>
      <c r="Q126" s="743" t="s">
        <v>732</v>
      </c>
      <c r="R126" s="524" t="s">
        <v>732</v>
      </c>
      <c r="S126" s="521">
        <v>1</v>
      </c>
    </row>
    <row r="127" spans="16:19" ht="15">
      <c r="P127" s="742" t="s">
        <v>5712</v>
      </c>
      <c r="Q127" s="743"/>
      <c r="R127" s="524"/>
      <c r="S127" s="521">
        <v>1</v>
      </c>
    </row>
    <row r="128" spans="16:19">
      <c r="P128" s="744" t="s">
        <v>1107</v>
      </c>
      <c r="Q128" s="743" t="s">
        <v>732</v>
      </c>
      <c r="R128" s="524" t="s">
        <v>732</v>
      </c>
      <c r="S128" s="521">
        <v>1</v>
      </c>
    </row>
    <row r="129" spans="16:19" ht="15">
      <c r="P129" s="742" t="s">
        <v>3192</v>
      </c>
      <c r="Q129" s="743"/>
      <c r="R129" s="524"/>
      <c r="S129" s="521">
        <v>1</v>
      </c>
    </row>
    <row r="130" spans="16:19">
      <c r="P130" s="744" t="s">
        <v>1807</v>
      </c>
      <c r="Q130" s="743"/>
      <c r="R130" s="524"/>
      <c r="S130" s="521">
        <v>1</v>
      </c>
    </row>
    <row r="131" spans="16:19" ht="15">
      <c r="P131" s="742" t="s">
        <v>1108</v>
      </c>
      <c r="Q131" s="743" t="s">
        <v>732</v>
      </c>
      <c r="R131" s="524" t="s">
        <v>732</v>
      </c>
      <c r="S131" s="521">
        <v>1</v>
      </c>
    </row>
    <row r="132" spans="16:19">
      <c r="P132" s="744" t="s">
        <v>1109</v>
      </c>
      <c r="Q132" s="743" t="s">
        <v>732</v>
      </c>
      <c r="R132" s="524" t="s">
        <v>732</v>
      </c>
      <c r="S132" s="521">
        <v>1</v>
      </c>
    </row>
    <row r="133" spans="16:19">
      <c r="P133" s="747" t="s">
        <v>2895</v>
      </c>
      <c r="Q133" s="743"/>
      <c r="R133" s="524"/>
      <c r="S133" s="521">
        <v>1</v>
      </c>
    </row>
    <row r="134" spans="16:19" ht="15">
      <c r="P134" s="742" t="s">
        <v>1110</v>
      </c>
      <c r="Q134" s="743" t="s">
        <v>732</v>
      </c>
      <c r="R134" s="524" t="s">
        <v>732</v>
      </c>
      <c r="S134" s="521">
        <v>1</v>
      </c>
    </row>
    <row r="135" spans="16:19" ht="15">
      <c r="P135" s="742" t="s">
        <v>1111</v>
      </c>
      <c r="Q135" s="743" t="s">
        <v>732</v>
      </c>
      <c r="R135" s="524" t="s">
        <v>732</v>
      </c>
      <c r="S135" s="521">
        <v>1</v>
      </c>
    </row>
    <row r="136" spans="16:19" ht="15">
      <c r="P136" s="742" t="s">
        <v>1112</v>
      </c>
      <c r="Q136" s="743" t="s">
        <v>732</v>
      </c>
      <c r="R136" s="524" t="s">
        <v>732</v>
      </c>
      <c r="S136" s="521">
        <v>1</v>
      </c>
    </row>
    <row r="137" spans="16:19" ht="15">
      <c r="P137" s="742" t="s">
        <v>6427</v>
      </c>
      <c r="Q137" s="743"/>
      <c r="R137" s="524"/>
      <c r="S137" s="521">
        <v>1</v>
      </c>
    </row>
    <row r="138" spans="16:19" ht="15">
      <c r="P138" s="742" t="s">
        <v>1113</v>
      </c>
      <c r="Q138" s="748"/>
      <c r="R138" s="526">
        <v>1</v>
      </c>
      <c r="S138" s="525"/>
    </row>
    <row r="139" spans="16:19" ht="15">
      <c r="P139" s="742" t="s">
        <v>1114</v>
      </c>
      <c r="Q139" s="743" t="s">
        <v>732</v>
      </c>
      <c r="R139" s="524" t="s">
        <v>732</v>
      </c>
      <c r="S139" s="521">
        <v>1</v>
      </c>
    </row>
    <row r="140" spans="16:19" ht="15">
      <c r="P140" s="742" t="s">
        <v>1115</v>
      </c>
      <c r="Q140" s="743" t="s">
        <v>732</v>
      </c>
      <c r="R140" s="524" t="s">
        <v>732</v>
      </c>
      <c r="S140" s="521">
        <v>1</v>
      </c>
    </row>
    <row r="141" spans="16:19" ht="15">
      <c r="P141" s="742" t="s">
        <v>1037</v>
      </c>
      <c r="Q141" s="743" t="s">
        <v>732</v>
      </c>
      <c r="R141" s="524" t="s">
        <v>732</v>
      </c>
      <c r="S141" s="521">
        <v>1</v>
      </c>
    </row>
    <row r="142" spans="16:19">
      <c r="P142" s="744" t="s">
        <v>1116</v>
      </c>
      <c r="Q142" s="743" t="s">
        <v>732</v>
      </c>
      <c r="R142" s="524" t="s">
        <v>732</v>
      </c>
      <c r="S142" s="521">
        <v>1</v>
      </c>
    </row>
    <row r="143" spans="16:19">
      <c r="P143" s="744" t="s">
        <v>1808</v>
      </c>
      <c r="Q143" s="743"/>
      <c r="R143" s="524"/>
      <c r="S143" s="521">
        <v>1</v>
      </c>
    </row>
    <row r="144" spans="16:19" ht="15">
      <c r="P144" s="742" t="s">
        <v>1117</v>
      </c>
      <c r="Q144" s="743" t="s">
        <v>732</v>
      </c>
      <c r="R144" s="524" t="s">
        <v>732</v>
      </c>
      <c r="S144" s="521">
        <v>1</v>
      </c>
    </row>
    <row r="145" spans="16:19" ht="15">
      <c r="P145" s="742" t="s">
        <v>1809</v>
      </c>
      <c r="Q145" s="743"/>
      <c r="R145" s="524"/>
      <c r="S145" s="521">
        <v>1</v>
      </c>
    </row>
    <row r="146" spans="16:19">
      <c r="P146" s="744" t="s">
        <v>1045</v>
      </c>
      <c r="Q146" s="743" t="s">
        <v>732</v>
      </c>
      <c r="R146" s="524" t="s">
        <v>732</v>
      </c>
      <c r="S146" s="521">
        <v>1</v>
      </c>
    </row>
    <row r="147" spans="16:19">
      <c r="P147" s="747" t="s">
        <v>3197</v>
      </c>
      <c r="Q147" s="743"/>
      <c r="R147" s="524"/>
      <c r="S147" s="521">
        <v>1</v>
      </c>
    </row>
    <row r="148" spans="16:19" ht="15">
      <c r="P148" s="742" t="s">
        <v>1023</v>
      </c>
      <c r="Q148" s="748"/>
      <c r="R148" s="526">
        <v>1</v>
      </c>
      <c r="S148" s="525"/>
    </row>
    <row r="149" spans="16:19" ht="15">
      <c r="P149" s="742" t="s">
        <v>1118</v>
      </c>
      <c r="Q149" s="748"/>
      <c r="R149" s="526">
        <v>1</v>
      </c>
      <c r="S149" s="525"/>
    </row>
    <row r="150" spans="16:19" ht="15">
      <c r="P150" s="742" t="s">
        <v>1810</v>
      </c>
      <c r="Q150" s="743"/>
      <c r="R150" s="524"/>
      <c r="S150" s="521">
        <v>1</v>
      </c>
    </row>
    <row r="151" spans="16:19" ht="15">
      <c r="P151" s="742" t="s">
        <v>6428</v>
      </c>
      <c r="Q151" s="743"/>
      <c r="R151" s="524"/>
      <c r="S151" s="521">
        <v>1</v>
      </c>
    </row>
    <row r="152" spans="16:19" ht="15">
      <c r="P152" s="742" t="s">
        <v>1119</v>
      </c>
      <c r="Q152" s="743" t="s">
        <v>732</v>
      </c>
      <c r="R152" s="524" t="s">
        <v>732</v>
      </c>
      <c r="S152" s="521">
        <v>1</v>
      </c>
    </row>
    <row r="153" spans="16:19" ht="15">
      <c r="P153" s="742" t="s">
        <v>5713</v>
      </c>
      <c r="Q153" s="743"/>
      <c r="R153" s="524"/>
      <c r="S153" s="521">
        <v>1</v>
      </c>
    </row>
    <row r="154" spans="16:19" ht="15">
      <c r="P154" s="742" t="s">
        <v>1120</v>
      </c>
      <c r="Q154" s="743" t="s">
        <v>732</v>
      </c>
      <c r="R154" s="524" t="s">
        <v>732</v>
      </c>
      <c r="S154" s="521">
        <v>1</v>
      </c>
    </row>
    <row r="155" spans="16:19" ht="15">
      <c r="P155" s="742" t="s">
        <v>1121</v>
      </c>
      <c r="Q155" s="743" t="s">
        <v>732</v>
      </c>
      <c r="R155" s="524" t="s">
        <v>732</v>
      </c>
      <c r="S155" s="521">
        <v>1</v>
      </c>
    </row>
    <row r="156" spans="16:19" ht="15">
      <c r="P156" s="742" t="s">
        <v>1122</v>
      </c>
      <c r="Q156" s="743" t="s">
        <v>732</v>
      </c>
      <c r="R156" s="524" t="s">
        <v>732</v>
      </c>
      <c r="S156" s="521">
        <v>1</v>
      </c>
    </row>
    <row r="157" spans="16:19">
      <c r="P157" s="744" t="s">
        <v>1307</v>
      </c>
      <c r="Q157" s="743"/>
      <c r="R157" s="524"/>
      <c r="S157" s="521">
        <v>1</v>
      </c>
    </row>
    <row r="158" spans="16:19">
      <c r="P158" s="744" t="s">
        <v>1123</v>
      </c>
      <c r="Q158" s="748">
        <v>1</v>
      </c>
      <c r="R158" s="526" t="s">
        <v>732</v>
      </c>
      <c r="S158" s="525"/>
    </row>
    <row r="159" spans="16:19" ht="15">
      <c r="P159" s="742" t="s">
        <v>1124</v>
      </c>
      <c r="Q159" s="743" t="s">
        <v>732</v>
      </c>
      <c r="R159" s="524" t="s">
        <v>732</v>
      </c>
      <c r="S159" s="521">
        <v>1</v>
      </c>
    </row>
    <row r="160" spans="16:19" ht="15">
      <c r="P160" s="742" t="s">
        <v>1125</v>
      </c>
      <c r="Q160" s="743" t="s">
        <v>732</v>
      </c>
      <c r="R160" s="524" t="s">
        <v>732</v>
      </c>
      <c r="S160" s="521">
        <v>1</v>
      </c>
    </row>
    <row r="161" spans="16:19" ht="15">
      <c r="P161" s="742" t="s">
        <v>1126</v>
      </c>
      <c r="Q161" s="748">
        <v>1</v>
      </c>
      <c r="R161" s="526" t="s">
        <v>732</v>
      </c>
      <c r="S161" s="525" t="s">
        <v>732</v>
      </c>
    </row>
    <row r="162" spans="16:19" ht="15">
      <c r="P162" s="742" t="s">
        <v>6429</v>
      </c>
      <c r="Q162" s="743"/>
      <c r="R162" s="524"/>
      <c r="S162" s="521">
        <v>1</v>
      </c>
    </row>
    <row r="163" spans="16:19" ht="15">
      <c r="P163" s="742" t="s">
        <v>1811</v>
      </c>
      <c r="Q163" s="743"/>
      <c r="R163" s="524"/>
      <c r="S163" s="521">
        <v>1</v>
      </c>
    </row>
    <row r="164" spans="16:19">
      <c r="P164" s="744" t="s">
        <v>1030</v>
      </c>
      <c r="Q164" s="743" t="s">
        <v>732</v>
      </c>
      <c r="R164" s="524" t="s">
        <v>732</v>
      </c>
      <c r="S164" s="521">
        <v>1</v>
      </c>
    </row>
    <row r="165" spans="16:19" ht="15">
      <c r="P165" s="742" t="s">
        <v>5714</v>
      </c>
      <c r="Q165" s="748">
        <v>1</v>
      </c>
      <c r="R165" s="526"/>
      <c r="S165" s="525"/>
    </row>
    <row r="166" spans="16:19">
      <c r="P166" s="744" t="s">
        <v>1127</v>
      </c>
      <c r="Q166" s="743" t="s">
        <v>732</v>
      </c>
      <c r="R166" s="524" t="s">
        <v>732</v>
      </c>
      <c r="S166" s="521">
        <v>1</v>
      </c>
    </row>
    <row r="167" spans="16:19" ht="15">
      <c r="P167" s="742" t="s">
        <v>1128</v>
      </c>
      <c r="Q167" s="743" t="s">
        <v>732</v>
      </c>
      <c r="R167" s="524" t="s">
        <v>732</v>
      </c>
      <c r="S167" s="521">
        <v>1</v>
      </c>
    </row>
    <row r="168" spans="16:19">
      <c r="P168" s="744" t="s">
        <v>1129</v>
      </c>
      <c r="Q168" s="743" t="s">
        <v>732</v>
      </c>
      <c r="R168" s="524" t="s">
        <v>732</v>
      </c>
      <c r="S168" s="521">
        <v>1</v>
      </c>
    </row>
    <row r="169" spans="16:19">
      <c r="P169" s="744" t="s">
        <v>1812</v>
      </c>
      <c r="Q169" s="743"/>
      <c r="R169" s="524"/>
      <c r="S169" s="521">
        <v>1</v>
      </c>
    </row>
    <row r="170" spans="16:19" ht="15">
      <c r="P170" s="742" t="s">
        <v>1130</v>
      </c>
      <c r="Q170" s="743" t="s">
        <v>732</v>
      </c>
      <c r="R170" s="524" t="s">
        <v>732</v>
      </c>
      <c r="S170" s="521">
        <v>1</v>
      </c>
    </row>
    <row r="171" spans="16:19">
      <c r="P171" s="747" t="s">
        <v>3198</v>
      </c>
      <c r="Q171" s="743"/>
      <c r="R171" s="524"/>
      <c r="S171" s="521">
        <v>1</v>
      </c>
    </row>
    <row r="172" spans="16:19" ht="15">
      <c r="P172" s="742" t="s">
        <v>1131</v>
      </c>
      <c r="Q172" s="743" t="s">
        <v>732</v>
      </c>
      <c r="R172" s="524" t="s">
        <v>732</v>
      </c>
      <c r="S172" s="521">
        <v>1</v>
      </c>
    </row>
    <row r="173" spans="16:19" ht="15">
      <c r="P173" s="742" t="s">
        <v>1308</v>
      </c>
      <c r="Q173" s="748">
        <v>1</v>
      </c>
      <c r="R173" s="526"/>
      <c r="S173" s="525"/>
    </row>
    <row r="174" spans="16:19" ht="15">
      <c r="P174" s="742" t="s">
        <v>1132</v>
      </c>
      <c r="Q174" s="743" t="s">
        <v>732</v>
      </c>
      <c r="R174" s="524" t="s">
        <v>732</v>
      </c>
      <c r="S174" s="521">
        <v>1</v>
      </c>
    </row>
    <row r="175" spans="16:19">
      <c r="P175" s="744" t="s">
        <v>1133</v>
      </c>
      <c r="Q175" s="743" t="s">
        <v>732</v>
      </c>
      <c r="R175" s="524" t="s">
        <v>732</v>
      </c>
      <c r="S175" s="521">
        <v>1</v>
      </c>
    </row>
    <row r="176" spans="16:19">
      <c r="P176" s="744" t="s">
        <v>1138</v>
      </c>
      <c r="Q176" s="743" t="s">
        <v>732</v>
      </c>
      <c r="R176" s="524" t="s">
        <v>732</v>
      </c>
      <c r="S176" s="521">
        <v>1</v>
      </c>
    </row>
    <row r="177" spans="16:19">
      <c r="P177" s="744" t="s">
        <v>1135</v>
      </c>
      <c r="Q177" s="743" t="s">
        <v>732</v>
      </c>
      <c r="R177" s="524" t="s">
        <v>732</v>
      </c>
      <c r="S177" s="521">
        <v>1</v>
      </c>
    </row>
    <row r="178" spans="16:19" ht="15">
      <c r="P178" s="742" t="s">
        <v>1134</v>
      </c>
      <c r="Q178" s="743" t="s">
        <v>732</v>
      </c>
      <c r="R178" s="524" t="s">
        <v>732</v>
      </c>
      <c r="S178" s="521">
        <v>1</v>
      </c>
    </row>
    <row r="179" spans="16:19">
      <c r="P179" s="744" t="s">
        <v>1137</v>
      </c>
      <c r="Q179" s="748"/>
      <c r="R179" s="526">
        <v>1</v>
      </c>
      <c r="S179" s="525"/>
    </row>
    <row r="180" spans="16:19" ht="15">
      <c r="P180" s="742" t="s">
        <v>1136</v>
      </c>
      <c r="Q180" s="743" t="s">
        <v>732</v>
      </c>
      <c r="R180" s="524" t="s">
        <v>732</v>
      </c>
      <c r="S180" s="521">
        <v>1</v>
      </c>
    </row>
    <row r="181" spans="16:19" ht="15">
      <c r="P181" s="742" t="s">
        <v>1140</v>
      </c>
      <c r="Q181" s="743" t="s">
        <v>732</v>
      </c>
      <c r="R181" s="524" t="s">
        <v>732</v>
      </c>
      <c r="S181" s="521">
        <v>1</v>
      </c>
    </row>
    <row r="182" spans="16:19" ht="15">
      <c r="P182" s="742" t="s">
        <v>1309</v>
      </c>
      <c r="Q182" s="743"/>
      <c r="R182" s="524"/>
      <c r="S182" s="521">
        <v>1</v>
      </c>
    </row>
    <row r="183" spans="16:19" ht="15">
      <c r="P183" s="742" t="s">
        <v>1141</v>
      </c>
      <c r="Q183" s="743" t="s">
        <v>732</v>
      </c>
      <c r="R183" s="524" t="s">
        <v>732</v>
      </c>
      <c r="S183" s="521">
        <v>1</v>
      </c>
    </row>
    <row r="184" spans="16:19" ht="15">
      <c r="P184" s="742" t="s">
        <v>1029</v>
      </c>
      <c r="Q184" s="743" t="s">
        <v>732</v>
      </c>
      <c r="R184" s="524" t="s">
        <v>732</v>
      </c>
      <c r="S184" s="521">
        <v>1</v>
      </c>
    </row>
    <row r="185" spans="16:19">
      <c r="P185" s="744" t="s">
        <v>3200</v>
      </c>
      <c r="Q185" s="743" t="s">
        <v>732</v>
      </c>
      <c r="R185" s="524" t="s">
        <v>732</v>
      </c>
      <c r="S185" s="521">
        <v>1</v>
      </c>
    </row>
    <row r="186" spans="16:19">
      <c r="P186" s="744" t="s">
        <v>1310</v>
      </c>
      <c r="Q186" s="743"/>
      <c r="R186" s="524"/>
      <c r="S186" s="521">
        <v>1</v>
      </c>
    </row>
    <row r="187" spans="16:19">
      <c r="P187" s="744" t="s">
        <v>1142</v>
      </c>
      <c r="Q187" s="743" t="s">
        <v>732</v>
      </c>
      <c r="R187" s="524" t="s">
        <v>732</v>
      </c>
      <c r="S187" s="521">
        <v>1</v>
      </c>
    </row>
    <row r="188" spans="16:19" ht="15">
      <c r="P188" s="742" t="s">
        <v>5715</v>
      </c>
      <c r="Q188" s="743"/>
      <c r="R188" s="524"/>
      <c r="S188" s="521">
        <v>1</v>
      </c>
    </row>
    <row r="189" spans="16:19" ht="15">
      <c r="P189" s="742" t="s">
        <v>1143</v>
      </c>
      <c r="Q189" s="743" t="s">
        <v>732</v>
      </c>
      <c r="R189" s="524" t="s">
        <v>732</v>
      </c>
      <c r="S189" s="521">
        <v>1</v>
      </c>
    </row>
    <row r="190" spans="16:19" ht="15">
      <c r="P190" s="742" t="s">
        <v>2874</v>
      </c>
      <c r="Q190" s="743" t="s">
        <v>732</v>
      </c>
      <c r="R190" s="524" t="s">
        <v>732</v>
      </c>
      <c r="S190" s="521">
        <v>1</v>
      </c>
    </row>
    <row r="191" spans="16:19" ht="15">
      <c r="P191" s="742" t="s">
        <v>1144</v>
      </c>
      <c r="Q191" s="743" t="s">
        <v>732</v>
      </c>
      <c r="R191" s="524" t="s">
        <v>732</v>
      </c>
      <c r="S191" s="521">
        <v>1</v>
      </c>
    </row>
    <row r="192" spans="16:19">
      <c r="P192" s="744" t="s">
        <v>3199</v>
      </c>
      <c r="Q192" s="743"/>
      <c r="R192" s="524"/>
      <c r="S192" s="521">
        <v>1</v>
      </c>
    </row>
    <row r="193" spans="16:19" ht="15">
      <c r="P193" s="742" t="s">
        <v>1145</v>
      </c>
      <c r="Q193" s="743" t="s">
        <v>732</v>
      </c>
      <c r="R193" s="524" t="s">
        <v>732</v>
      </c>
      <c r="S193" s="521">
        <v>1</v>
      </c>
    </row>
    <row r="194" spans="16:19" ht="15">
      <c r="P194" s="742" t="s">
        <v>1146</v>
      </c>
      <c r="Q194" s="748">
        <v>1</v>
      </c>
      <c r="R194" s="526"/>
      <c r="S194" s="525"/>
    </row>
    <row r="195" spans="16:19" ht="15">
      <c r="P195" s="742" t="s">
        <v>1147</v>
      </c>
      <c r="Q195" s="743" t="s">
        <v>732</v>
      </c>
      <c r="R195" s="524" t="s">
        <v>732</v>
      </c>
      <c r="S195" s="521">
        <v>1</v>
      </c>
    </row>
    <row r="196" spans="16:19">
      <c r="P196" s="744" t="s">
        <v>1148</v>
      </c>
      <c r="Q196" s="743" t="s">
        <v>732</v>
      </c>
      <c r="R196" s="524" t="s">
        <v>732</v>
      </c>
      <c r="S196" s="521">
        <v>1</v>
      </c>
    </row>
    <row r="197" spans="16:19" ht="15">
      <c r="P197" s="742" t="s">
        <v>6430</v>
      </c>
      <c r="Q197" s="743" t="s">
        <v>732</v>
      </c>
      <c r="R197" s="524"/>
      <c r="S197" s="521">
        <v>1</v>
      </c>
    </row>
    <row r="198" spans="16:19">
      <c r="P198" s="747" t="s">
        <v>3201</v>
      </c>
      <c r="Q198" s="743"/>
      <c r="R198" s="524"/>
      <c r="S198" s="521">
        <v>1</v>
      </c>
    </row>
    <row r="199" spans="16:19" ht="15">
      <c r="P199" s="742" t="s">
        <v>1311</v>
      </c>
      <c r="Q199" s="743"/>
      <c r="R199" s="524"/>
      <c r="S199" s="521">
        <v>1</v>
      </c>
    </row>
    <row r="200" spans="16:19" ht="15">
      <c r="P200" s="742" t="s">
        <v>1149</v>
      </c>
      <c r="Q200" s="743" t="s">
        <v>732</v>
      </c>
      <c r="R200" s="524" t="s">
        <v>732</v>
      </c>
      <c r="S200" s="521">
        <v>1</v>
      </c>
    </row>
    <row r="201" spans="16:19" ht="15">
      <c r="P201" s="742" t="s">
        <v>6431</v>
      </c>
      <c r="Q201" s="748"/>
      <c r="R201" s="526">
        <v>1</v>
      </c>
      <c r="S201" s="525"/>
    </row>
    <row r="202" spans="16:19" ht="15">
      <c r="P202" s="742" t="s">
        <v>1813</v>
      </c>
      <c r="Q202" s="743"/>
      <c r="R202" s="524"/>
      <c r="S202" s="521">
        <v>1</v>
      </c>
    </row>
    <row r="203" spans="16:19" ht="15">
      <c r="P203" s="742" t="s">
        <v>3191</v>
      </c>
      <c r="Q203" s="743"/>
      <c r="R203" s="524"/>
      <c r="S203" s="521">
        <v>1</v>
      </c>
    </row>
    <row r="204" spans="16:19">
      <c r="P204" s="744" t="s">
        <v>1048</v>
      </c>
      <c r="Q204" s="743" t="s">
        <v>732</v>
      </c>
      <c r="R204" s="524" t="s">
        <v>732</v>
      </c>
      <c r="S204" s="521">
        <v>1</v>
      </c>
    </row>
    <row r="205" spans="16:19" ht="15">
      <c r="P205" s="742" t="s">
        <v>1150</v>
      </c>
      <c r="Q205" s="743" t="s">
        <v>732</v>
      </c>
      <c r="R205" s="524" t="s">
        <v>732</v>
      </c>
      <c r="S205" s="521">
        <v>1</v>
      </c>
    </row>
    <row r="206" spans="16:19" ht="15">
      <c r="P206" s="742" t="s">
        <v>1151</v>
      </c>
      <c r="Q206" s="743" t="s">
        <v>732</v>
      </c>
      <c r="R206" s="524" t="s">
        <v>732</v>
      </c>
      <c r="S206" s="521">
        <v>1</v>
      </c>
    </row>
    <row r="207" spans="16:19">
      <c r="P207" s="744" t="s">
        <v>1152</v>
      </c>
      <c r="Q207" s="743" t="s">
        <v>732</v>
      </c>
      <c r="R207" s="524" t="s">
        <v>732</v>
      </c>
      <c r="S207" s="521">
        <v>1</v>
      </c>
    </row>
    <row r="208" spans="16:19">
      <c r="P208" s="744" t="s">
        <v>1153</v>
      </c>
      <c r="Q208" s="743" t="s">
        <v>732</v>
      </c>
      <c r="R208" s="524" t="s">
        <v>732</v>
      </c>
      <c r="S208" s="521">
        <v>1</v>
      </c>
    </row>
    <row r="209" spans="16:19" ht="15">
      <c r="P209" s="742" t="s">
        <v>6432</v>
      </c>
      <c r="Q209" s="743"/>
      <c r="R209" s="524"/>
      <c r="S209" s="521">
        <v>1</v>
      </c>
    </row>
    <row r="210" spans="16:19">
      <c r="P210" s="744" t="s">
        <v>1154</v>
      </c>
      <c r="Q210" s="743" t="s">
        <v>732</v>
      </c>
      <c r="R210" s="524" t="s">
        <v>732</v>
      </c>
      <c r="S210" s="521">
        <v>1</v>
      </c>
    </row>
    <row r="211" spans="16:19" ht="15">
      <c r="P211" s="742" t="s">
        <v>1155</v>
      </c>
      <c r="Q211" s="743" t="s">
        <v>732</v>
      </c>
      <c r="R211" s="524" t="s">
        <v>732</v>
      </c>
      <c r="S211" s="521">
        <v>1</v>
      </c>
    </row>
    <row r="212" spans="16:19" ht="15">
      <c r="P212" s="742" t="s">
        <v>1156</v>
      </c>
      <c r="Q212" s="743" t="s">
        <v>732</v>
      </c>
      <c r="R212" s="524" t="s">
        <v>732</v>
      </c>
      <c r="S212" s="521">
        <v>1</v>
      </c>
    </row>
    <row r="213" spans="16:19" ht="15">
      <c r="P213" s="742" t="s">
        <v>1157</v>
      </c>
      <c r="Q213" s="748"/>
      <c r="R213" s="526">
        <v>1</v>
      </c>
      <c r="S213" s="525"/>
    </row>
    <row r="214" spans="16:19" ht="15">
      <c r="P214" s="742" t="s">
        <v>1158</v>
      </c>
      <c r="Q214" s="743" t="s">
        <v>732</v>
      </c>
      <c r="R214" s="524" t="s">
        <v>732</v>
      </c>
      <c r="S214" s="521">
        <v>1</v>
      </c>
    </row>
    <row r="215" spans="16:19" ht="15">
      <c r="P215" s="742" t="s">
        <v>1159</v>
      </c>
      <c r="Q215" s="748" t="s">
        <v>732</v>
      </c>
      <c r="R215" s="526">
        <v>1</v>
      </c>
      <c r="S215" s="525" t="s">
        <v>732</v>
      </c>
    </row>
    <row r="216" spans="16:19">
      <c r="P216" s="744" t="s">
        <v>1160</v>
      </c>
      <c r="Q216" s="748">
        <v>1</v>
      </c>
      <c r="R216" s="526"/>
      <c r="S216" s="525"/>
    </row>
    <row r="217" spans="16:19" ht="15">
      <c r="P217" s="742" t="s">
        <v>5716</v>
      </c>
      <c r="Q217" s="743"/>
      <c r="R217" s="524"/>
      <c r="S217" s="521">
        <v>1</v>
      </c>
    </row>
    <row r="218" spans="16:19" ht="15">
      <c r="P218" s="742" t="s">
        <v>1161</v>
      </c>
      <c r="Q218" s="743" t="s">
        <v>732</v>
      </c>
      <c r="R218" s="524" t="s">
        <v>732</v>
      </c>
      <c r="S218" s="521">
        <v>1</v>
      </c>
    </row>
    <row r="219" spans="16:19" ht="15">
      <c r="P219" s="742" t="s">
        <v>1162</v>
      </c>
      <c r="Q219" s="748"/>
      <c r="R219" s="526">
        <v>1</v>
      </c>
      <c r="S219" s="525"/>
    </row>
    <row r="220" spans="16:19">
      <c r="P220" s="747" t="s">
        <v>2893</v>
      </c>
      <c r="Q220" s="743"/>
      <c r="R220" s="524"/>
      <c r="S220" s="521">
        <v>1</v>
      </c>
    </row>
    <row r="221" spans="16:19">
      <c r="P221" s="744" t="s">
        <v>1163</v>
      </c>
      <c r="Q221" s="743" t="s">
        <v>732</v>
      </c>
      <c r="R221" s="524" t="s">
        <v>732</v>
      </c>
      <c r="S221" s="521">
        <v>1</v>
      </c>
    </row>
    <row r="222" spans="16:19" ht="15">
      <c r="P222" s="742" t="s">
        <v>1164</v>
      </c>
      <c r="Q222" s="743" t="s">
        <v>732</v>
      </c>
      <c r="R222" s="524" t="s">
        <v>732</v>
      </c>
      <c r="S222" s="521">
        <v>1</v>
      </c>
    </row>
    <row r="223" spans="16:19" ht="15">
      <c r="P223" s="742" t="s">
        <v>1165</v>
      </c>
      <c r="Q223" s="743" t="s">
        <v>732</v>
      </c>
      <c r="R223" s="524" t="s">
        <v>732</v>
      </c>
      <c r="S223" s="521">
        <v>1</v>
      </c>
    </row>
    <row r="224" spans="16:19" ht="15">
      <c r="P224" s="742" t="s">
        <v>1166</v>
      </c>
      <c r="Q224" s="743" t="s">
        <v>732</v>
      </c>
      <c r="R224" s="524" t="s">
        <v>732</v>
      </c>
      <c r="S224" s="521">
        <v>1</v>
      </c>
    </row>
    <row r="225" spans="16:19">
      <c r="P225" s="744" t="s">
        <v>1167</v>
      </c>
      <c r="Q225" s="743" t="s">
        <v>732</v>
      </c>
      <c r="R225" s="524" t="s">
        <v>732</v>
      </c>
      <c r="S225" s="521">
        <v>1</v>
      </c>
    </row>
    <row r="226" spans="16:19">
      <c r="P226" s="744" t="s">
        <v>1168</v>
      </c>
      <c r="Q226" s="743" t="s">
        <v>732</v>
      </c>
      <c r="R226" s="524" t="s">
        <v>732</v>
      </c>
      <c r="S226" s="521">
        <v>1</v>
      </c>
    </row>
    <row r="227" spans="16:19" ht="15">
      <c r="P227" s="742" t="s">
        <v>1169</v>
      </c>
      <c r="Q227" s="743" t="s">
        <v>732</v>
      </c>
      <c r="R227" s="524" t="s">
        <v>732</v>
      </c>
      <c r="S227" s="521">
        <v>1</v>
      </c>
    </row>
    <row r="228" spans="16:19" ht="15">
      <c r="P228" s="742" t="s">
        <v>5717</v>
      </c>
      <c r="Q228" s="743"/>
      <c r="R228" s="524"/>
      <c r="S228" s="521">
        <v>1</v>
      </c>
    </row>
    <row r="229" spans="16:19" ht="15">
      <c r="P229" s="742" t="s">
        <v>1170</v>
      </c>
      <c r="Q229" s="743" t="s">
        <v>732</v>
      </c>
      <c r="R229" s="524" t="s">
        <v>732</v>
      </c>
      <c r="S229" s="521">
        <v>1</v>
      </c>
    </row>
    <row r="230" spans="16:19" ht="15">
      <c r="P230" s="742" t="s">
        <v>5718</v>
      </c>
      <c r="Q230" s="743"/>
      <c r="R230" s="524"/>
      <c r="S230" s="521">
        <v>1</v>
      </c>
    </row>
    <row r="231" spans="16:19" ht="15">
      <c r="P231" s="742" t="s">
        <v>1171</v>
      </c>
      <c r="Q231" s="743" t="s">
        <v>732</v>
      </c>
      <c r="R231" s="524" t="s">
        <v>732</v>
      </c>
      <c r="S231" s="521">
        <v>1</v>
      </c>
    </row>
    <row r="232" spans="16:19" ht="15">
      <c r="P232" s="742" t="s">
        <v>1171</v>
      </c>
      <c r="Q232" s="748">
        <v>1</v>
      </c>
      <c r="R232" s="526"/>
      <c r="S232" s="525"/>
    </row>
    <row r="233" spans="16:19">
      <c r="P233" s="744" t="s">
        <v>1027</v>
      </c>
      <c r="Q233" s="743" t="s">
        <v>732</v>
      </c>
      <c r="R233" s="524" t="s">
        <v>732</v>
      </c>
      <c r="S233" s="521">
        <v>1</v>
      </c>
    </row>
    <row r="234" spans="16:19">
      <c r="P234" s="747" t="s">
        <v>3202</v>
      </c>
      <c r="Q234" s="743"/>
      <c r="R234" s="524"/>
      <c r="S234" s="521">
        <v>1</v>
      </c>
    </row>
    <row r="235" spans="16:19" ht="15">
      <c r="P235" s="742" t="s">
        <v>1022</v>
      </c>
      <c r="Q235" s="743" t="s">
        <v>732</v>
      </c>
      <c r="R235" s="524" t="s">
        <v>732</v>
      </c>
      <c r="S235" s="521">
        <v>1</v>
      </c>
    </row>
    <row r="236" spans="16:19" ht="15">
      <c r="P236" s="742" t="s">
        <v>5719</v>
      </c>
      <c r="Q236" s="743"/>
      <c r="R236" s="524"/>
      <c r="S236" s="521">
        <v>1</v>
      </c>
    </row>
    <row r="237" spans="16:19" ht="15">
      <c r="P237" s="742" t="s">
        <v>5720</v>
      </c>
      <c r="Q237" s="743"/>
      <c r="R237" s="524"/>
      <c r="S237" s="521">
        <v>1</v>
      </c>
    </row>
    <row r="238" spans="16:19" ht="15">
      <c r="P238" s="742" t="s">
        <v>1172</v>
      </c>
      <c r="Q238" s="743" t="s">
        <v>732</v>
      </c>
      <c r="R238" s="524" t="s">
        <v>732</v>
      </c>
      <c r="S238" s="521">
        <v>1</v>
      </c>
    </row>
    <row r="239" spans="16:19" ht="15">
      <c r="P239" s="742" t="s">
        <v>1173</v>
      </c>
      <c r="Q239" s="749" t="s">
        <v>732</v>
      </c>
      <c r="R239" s="529" t="s">
        <v>732</v>
      </c>
      <c r="S239" s="528">
        <v>1</v>
      </c>
    </row>
    <row r="240" spans="16:19">
      <c r="P240" s="744" t="s">
        <v>1174</v>
      </c>
      <c r="Q240" s="748"/>
      <c r="R240" s="526">
        <v>1</v>
      </c>
      <c r="S240" s="525"/>
    </row>
    <row r="241" spans="16:19" ht="15">
      <c r="P241" s="742" t="s">
        <v>1175</v>
      </c>
      <c r="Q241" s="743" t="s">
        <v>732</v>
      </c>
      <c r="R241" s="524" t="s">
        <v>732</v>
      </c>
      <c r="S241" s="521">
        <v>1</v>
      </c>
    </row>
    <row r="242" spans="16:19" ht="15">
      <c r="P242" s="742" t="s">
        <v>6433</v>
      </c>
      <c r="Q242" s="748">
        <v>1</v>
      </c>
      <c r="R242" s="526"/>
      <c r="S242" s="525" t="s">
        <v>732</v>
      </c>
    </row>
    <row r="243" spans="16:19" ht="15">
      <c r="P243" s="742" t="s">
        <v>1176</v>
      </c>
      <c r="Q243" s="743" t="s">
        <v>732</v>
      </c>
      <c r="R243" s="524" t="s">
        <v>732</v>
      </c>
      <c r="S243" s="521">
        <v>1</v>
      </c>
    </row>
    <row r="244" spans="16:19">
      <c r="P244" s="747" t="s">
        <v>3203</v>
      </c>
      <c r="Q244" s="743"/>
      <c r="R244" s="524"/>
      <c r="S244" s="521">
        <v>1</v>
      </c>
    </row>
    <row r="245" spans="16:19">
      <c r="P245" s="744" t="s">
        <v>1177</v>
      </c>
      <c r="Q245" s="743" t="s">
        <v>732</v>
      </c>
      <c r="R245" s="524" t="s">
        <v>732</v>
      </c>
      <c r="S245" s="521">
        <v>1</v>
      </c>
    </row>
    <row r="246" spans="16:19">
      <c r="P246" s="744" t="s">
        <v>1178</v>
      </c>
      <c r="Q246" s="743" t="s">
        <v>732</v>
      </c>
      <c r="R246" s="524" t="s">
        <v>732</v>
      </c>
      <c r="S246" s="521">
        <v>1</v>
      </c>
    </row>
    <row r="247" spans="16:19" ht="15">
      <c r="P247" s="742" t="s">
        <v>1179</v>
      </c>
      <c r="Q247" s="743" t="s">
        <v>732</v>
      </c>
      <c r="R247" s="524" t="s">
        <v>732</v>
      </c>
      <c r="S247" s="521">
        <v>1</v>
      </c>
    </row>
    <row r="248" spans="16:19" ht="15">
      <c r="P248" s="742" t="s">
        <v>1180</v>
      </c>
      <c r="Q248" s="748"/>
      <c r="R248" s="526">
        <v>1</v>
      </c>
      <c r="S248" s="525"/>
    </row>
    <row r="249" spans="16:19" ht="15">
      <c r="P249" s="742" t="s">
        <v>1036</v>
      </c>
      <c r="Q249" s="743" t="s">
        <v>732</v>
      </c>
      <c r="R249" s="524" t="s">
        <v>732</v>
      </c>
      <c r="S249" s="521">
        <v>1</v>
      </c>
    </row>
    <row r="250" spans="16:19" ht="15">
      <c r="P250" s="742" t="s">
        <v>1181</v>
      </c>
      <c r="Q250" s="743" t="s">
        <v>732</v>
      </c>
      <c r="R250" s="524" t="s">
        <v>732</v>
      </c>
      <c r="S250" s="521">
        <v>1</v>
      </c>
    </row>
    <row r="251" spans="16:19">
      <c r="P251" s="747" t="s">
        <v>3204</v>
      </c>
      <c r="Q251" s="743"/>
      <c r="R251" s="524"/>
      <c r="S251" s="521">
        <v>1</v>
      </c>
    </row>
    <row r="252" spans="16:19" ht="15">
      <c r="P252" s="742" t="s">
        <v>1182</v>
      </c>
      <c r="Q252" s="743" t="s">
        <v>732</v>
      </c>
      <c r="R252" s="524" t="s">
        <v>732</v>
      </c>
      <c r="S252" s="521">
        <v>1</v>
      </c>
    </row>
    <row r="253" spans="16:19" ht="15">
      <c r="P253" s="742" t="s">
        <v>1024</v>
      </c>
      <c r="Q253" s="743" t="s">
        <v>732</v>
      </c>
      <c r="R253" s="524" t="s">
        <v>732</v>
      </c>
      <c r="S253" s="521">
        <v>1</v>
      </c>
    </row>
    <row r="254" spans="16:19">
      <c r="P254" s="747" t="s">
        <v>3205</v>
      </c>
      <c r="Q254" s="743"/>
      <c r="R254" s="524"/>
      <c r="S254" s="521">
        <v>1</v>
      </c>
    </row>
    <row r="255" spans="16:19" ht="15">
      <c r="P255" s="742" t="s">
        <v>1183</v>
      </c>
      <c r="Q255" s="743" t="s">
        <v>732</v>
      </c>
      <c r="R255" s="524" t="s">
        <v>732</v>
      </c>
      <c r="S255" s="521">
        <v>1</v>
      </c>
    </row>
    <row r="256" spans="16:19" ht="15">
      <c r="P256" s="742" t="s">
        <v>6434</v>
      </c>
      <c r="Q256" s="743"/>
      <c r="R256" s="524"/>
      <c r="S256" s="521">
        <v>1</v>
      </c>
    </row>
    <row r="257" spans="16:19" ht="15">
      <c r="P257" s="742" t="s">
        <v>1019</v>
      </c>
      <c r="Q257" s="743" t="s">
        <v>732</v>
      </c>
      <c r="R257" s="524" t="s">
        <v>732</v>
      </c>
      <c r="S257" s="521">
        <v>1</v>
      </c>
    </row>
    <row r="258" spans="16:19" ht="15">
      <c r="P258" s="742" t="s">
        <v>1184</v>
      </c>
      <c r="Q258" s="743" t="s">
        <v>732</v>
      </c>
      <c r="R258" s="524" t="s">
        <v>732</v>
      </c>
      <c r="S258" s="521">
        <v>1</v>
      </c>
    </row>
    <row r="259" spans="16:19" ht="15">
      <c r="P259" s="742" t="s">
        <v>1020</v>
      </c>
      <c r="Q259" s="743" t="s">
        <v>732</v>
      </c>
      <c r="R259" s="524" t="s">
        <v>732</v>
      </c>
      <c r="S259" s="521">
        <v>1</v>
      </c>
    </row>
    <row r="260" spans="16:19" ht="15">
      <c r="P260" s="742" t="s">
        <v>1185</v>
      </c>
      <c r="Q260" s="748"/>
      <c r="R260" s="526">
        <v>1</v>
      </c>
      <c r="S260" s="525" t="s">
        <v>732</v>
      </c>
    </row>
    <row r="261" spans="16:19" ht="15">
      <c r="P261" s="742" t="s">
        <v>1186</v>
      </c>
      <c r="Q261" s="748">
        <v>1</v>
      </c>
      <c r="R261" s="526"/>
      <c r="S261" s="525"/>
    </row>
    <row r="262" spans="16:19">
      <c r="P262" s="744" t="s">
        <v>1187</v>
      </c>
      <c r="Q262" s="743" t="s">
        <v>732</v>
      </c>
      <c r="R262" s="524" t="s">
        <v>732</v>
      </c>
      <c r="S262" s="521">
        <v>1</v>
      </c>
    </row>
    <row r="263" spans="16:19" ht="15">
      <c r="P263" s="742" t="s">
        <v>5721</v>
      </c>
      <c r="Q263" s="743" t="s">
        <v>732</v>
      </c>
      <c r="R263" s="524" t="s">
        <v>732</v>
      </c>
      <c r="S263" s="521">
        <v>1</v>
      </c>
    </row>
    <row r="264" spans="16:19">
      <c r="P264" s="747" t="s">
        <v>1770</v>
      </c>
      <c r="Q264" s="743"/>
      <c r="R264" s="524"/>
      <c r="S264" s="521">
        <v>1</v>
      </c>
    </row>
    <row r="265" spans="16:19" ht="15">
      <c r="P265" s="742" t="s">
        <v>5722</v>
      </c>
      <c r="Q265" s="743"/>
      <c r="R265" s="524"/>
      <c r="S265" s="521">
        <v>1</v>
      </c>
    </row>
    <row r="266" spans="16:19">
      <c r="P266" s="744" t="s">
        <v>1814</v>
      </c>
      <c r="Q266" s="743" t="s">
        <v>732</v>
      </c>
      <c r="R266" s="524"/>
      <c r="S266" s="521">
        <v>1</v>
      </c>
    </row>
    <row r="267" spans="16:19">
      <c r="P267" s="747" t="s">
        <v>2896</v>
      </c>
      <c r="Q267" s="743"/>
      <c r="R267" s="524"/>
      <c r="S267" s="521">
        <v>1</v>
      </c>
    </row>
    <row r="268" spans="16:19">
      <c r="P268" s="744" t="s">
        <v>1188</v>
      </c>
      <c r="Q268" s="743" t="s">
        <v>732</v>
      </c>
      <c r="R268" s="524" t="s">
        <v>732</v>
      </c>
      <c r="S268" s="521">
        <v>1</v>
      </c>
    </row>
    <row r="269" spans="16:19" ht="15">
      <c r="P269" s="742" t="s">
        <v>1189</v>
      </c>
      <c r="Q269" s="743" t="s">
        <v>732</v>
      </c>
      <c r="R269" s="524" t="s">
        <v>732</v>
      </c>
      <c r="S269" s="521">
        <v>1</v>
      </c>
    </row>
    <row r="270" spans="16:19" ht="15">
      <c r="P270" s="742" t="s">
        <v>1190</v>
      </c>
      <c r="Q270" s="743" t="s">
        <v>732</v>
      </c>
      <c r="R270" s="524" t="s">
        <v>732</v>
      </c>
      <c r="S270" s="521">
        <v>1</v>
      </c>
    </row>
    <row r="271" spans="16:19" ht="15">
      <c r="P271" s="742" t="s">
        <v>1191</v>
      </c>
      <c r="Q271" s="748">
        <v>1</v>
      </c>
      <c r="R271" s="526"/>
      <c r="S271" s="525"/>
    </row>
    <row r="272" spans="16:19" ht="15">
      <c r="P272" s="742" t="s">
        <v>5723</v>
      </c>
      <c r="Q272" s="743"/>
      <c r="R272" s="524"/>
      <c r="S272" s="521">
        <v>1</v>
      </c>
    </row>
    <row r="273" spans="16:19" ht="15">
      <c r="P273" s="742" t="s">
        <v>5724</v>
      </c>
      <c r="Q273" s="743"/>
      <c r="R273" s="524"/>
      <c r="S273" s="521">
        <v>1</v>
      </c>
    </row>
    <row r="274" spans="16:19" ht="15">
      <c r="P274" s="742" t="s">
        <v>1192</v>
      </c>
      <c r="Q274" s="743" t="s">
        <v>732</v>
      </c>
      <c r="R274" s="524" t="s">
        <v>732</v>
      </c>
      <c r="S274" s="521">
        <v>1</v>
      </c>
    </row>
    <row r="275" spans="16:19" ht="15">
      <c r="P275" s="742" t="s">
        <v>1193</v>
      </c>
      <c r="Q275" s="743" t="s">
        <v>732</v>
      </c>
      <c r="R275" s="524" t="s">
        <v>732</v>
      </c>
      <c r="S275" s="521">
        <v>1</v>
      </c>
    </row>
    <row r="276" spans="16:19">
      <c r="P276" s="747" t="s">
        <v>3206</v>
      </c>
      <c r="Q276" s="743"/>
      <c r="R276" s="524"/>
      <c r="S276" s="521">
        <v>1</v>
      </c>
    </row>
    <row r="277" spans="16:19">
      <c r="P277" s="744" t="s">
        <v>1194</v>
      </c>
      <c r="Q277" s="743" t="s">
        <v>732</v>
      </c>
      <c r="R277" s="524" t="s">
        <v>732</v>
      </c>
      <c r="S277" s="521">
        <v>1</v>
      </c>
    </row>
    <row r="278" spans="16:19" ht="15">
      <c r="P278" s="742" t="s">
        <v>1195</v>
      </c>
      <c r="Q278" s="743" t="s">
        <v>732</v>
      </c>
      <c r="R278" s="524" t="s">
        <v>732</v>
      </c>
      <c r="S278" s="521">
        <v>1</v>
      </c>
    </row>
    <row r="279" spans="16:19" ht="15">
      <c r="P279" s="742" t="s">
        <v>5725</v>
      </c>
      <c r="Q279" s="743"/>
      <c r="R279" s="524"/>
      <c r="S279" s="521">
        <v>1</v>
      </c>
    </row>
    <row r="280" spans="16:19" ht="15">
      <c r="P280" s="742" t="s">
        <v>5726</v>
      </c>
      <c r="Q280" s="743" t="s">
        <v>732</v>
      </c>
      <c r="R280" s="524" t="s">
        <v>732</v>
      </c>
      <c r="S280" s="521">
        <v>1</v>
      </c>
    </row>
    <row r="281" spans="16:19" ht="15">
      <c r="P281" s="742" t="s">
        <v>1196</v>
      </c>
      <c r="Q281" s="743" t="s">
        <v>732</v>
      </c>
      <c r="R281" s="524" t="s">
        <v>732</v>
      </c>
      <c r="S281" s="521">
        <v>1</v>
      </c>
    </row>
    <row r="282" spans="16:19" ht="15">
      <c r="P282" s="742" t="s">
        <v>5727</v>
      </c>
      <c r="Q282" s="743" t="s">
        <v>732</v>
      </c>
      <c r="R282" s="524" t="s">
        <v>732</v>
      </c>
      <c r="S282" s="521">
        <v>1</v>
      </c>
    </row>
    <row r="283" spans="16:19" ht="15">
      <c r="P283" s="742" t="s">
        <v>1197</v>
      </c>
      <c r="Q283" s="748">
        <v>1</v>
      </c>
      <c r="R283" s="526"/>
      <c r="S283" s="525"/>
    </row>
    <row r="284" spans="16:19" ht="15">
      <c r="P284" s="742" t="s">
        <v>6435</v>
      </c>
      <c r="Q284" s="743"/>
      <c r="R284" s="524"/>
      <c r="S284" s="521">
        <v>1</v>
      </c>
    </row>
    <row r="285" spans="16:19" ht="15">
      <c r="P285" s="742" t="s">
        <v>1198</v>
      </c>
      <c r="Q285" s="743" t="s">
        <v>732</v>
      </c>
      <c r="R285" s="524" t="s">
        <v>732</v>
      </c>
      <c r="S285" s="521">
        <v>1</v>
      </c>
    </row>
    <row r="286" spans="16:19" ht="15">
      <c r="P286" s="742" t="s">
        <v>1199</v>
      </c>
      <c r="Q286" s="743" t="s">
        <v>732</v>
      </c>
      <c r="R286" s="524" t="s">
        <v>732</v>
      </c>
      <c r="S286" s="521">
        <v>1</v>
      </c>
    </row>
    <row r="287" spans="16:19" ht="15">
      <c r="P287" s="742" t="s">
        <v>3189</v>
      </c>
      <c r="Q287" s="743"/>
      <c r="R287" s="524"/>
      <c r="S287" s="521">
        <v>1</v>
      </c>
    </row>
    <row r="288" spans="16:19">
      <c r="P288" s="744" t="s">
        <v>1080</v>
      </c>
      <c r="Q288" s="748">
        <v>1</v>
      </c>
      <c r="R288" s="526"/>
      <c r="S288" s="525"/>
    </row>
    <row r="289" spans="16:19" ht="15">
      <c r="P289" s="742" t="s">
        <v>1200</v>
      </c>
      <c r="Q289" s="743" t="s">
        <v>732</v>
      </c>
      <c r="R289" s="524" t="s">
        <v>732</v>
      </c>
      <c r="S289" s="521">
        <v>1</v>
      </c>
    </row>
    <row r="290" spans="16:19" ht="15">
      <c r="P290" s="742" t="s">
        <v>1201</v>
      </c>
      <c r="Q290" s="743" t="s">
        <v>732</v>
      </c>
      <c r="R290" s="524" t="s">
        <v>732</v>
      </c>
      <c r="S290" s="521">
        <v>1</v>
      </c>
    </row>
    <row r="291" spans="16:19" ht="15">
      <c r="P291" s="742" t="s">
        <v>3190</v>
      </c>
      <c r="Q291" s="743"/>
      <c r="R291" s="524"/>
      <c r="S291" s="521">
        <v>1</v>
      </c>
    </row>
    <row r="292" spans="16:19" ht="15">
      <c r="P292" s="742" t="s">
        <v>1202</v>
      </c>
      <c r="Q292" s="743" t="s">
        <v>732</v>
      </c>
      <c r="R292" s="524" t="s">
        <v>732</v>
      </c>
      <c r="S292" s="521">
        <v>1</v>
      </c>
    </row>
    <row r="293" spans="16:19" ht="15">
      <c r="P293" s="742" t="s">
        <v>6436</v>
      </c>
      <c r="Q293" s="743"/>
      <c r="R293" s="524"/>
      <c r="S293" s="521">
        <v>1</v>
      </c>
    </row>
    <row r="294" spans="16:19" ht="15">
      <c r="P294" s="742" t="s">
        <v>1025</v>
      </c>
      <c r="Q294" s="748"/>
      <c r="R294" s="526">
        <v>1</v>
      </c>
      <c r="S294" s="525"/>
    </row>
    <row r="295" spans="16:19" ht="15">
      <c r="P295" s="742" t="s">
        <v>1203</v>
      </c>
      <c r="Q295" s="743" t="s">
        <v>732</v>
      </c>
      <c r="R295" s="524" t="s">
        <v>732</v>
      </c>
      <c r="S295" s="521">
        <v>1</v>
      </c>
    </row>
    <row r="296" spans="16:19" ht="15">
      <c r="P296" s="742" t="s">
        <v>5728</v>
      </c>
      <c r="Q296" s="743"/>
      <c r="R296" s="524"/>
      <c r="S296" s="521">
        <v>1</v>
      </c>
    </row>
    <row r="297" spans="16:19" ht="15">
      <c r="P297" s="742" t="s">
        <v>1801</v>
      </c>
      <c r="Q297" s="743"/>
      <c r="R297" s="524"/>
      <c r="S297" s="521">
        <v>1</v>
      </c>
    </row>
    <row r="298" spans="16:19" ht="15">
      <c r="P298" s="742" t="s">
        <v>1204</v>
      </c>
      <c r="Q298" s="743" t="s">
        <v>732</v>
      </c>
      <c r="R298" s="524" t="s">
        <v>732</v>
      </c>
      <c r="S298" s="521">
        <v>1</v>
      </c>
    </row>
    <row r="299" spans="16:19" ht="15">
      <c r="P299" s="742" t="s">
        <v>1205</v>
      </c>
      <c r="Q299" s="743" t="s">
        <v>732</v>
      </c>
      <c r="R299" s="524" t="s">
        <v>732</v>
      </c>
      <c r="S299" s="521">
        <v>1</v>
      </c>
    </row>
    <row r="300" spans="16:19" ht="15">
      <c r="P300" s="742" t="s">
        <v>1206</v>
      </c>
      <c r="Q300" s="748"/>
      <c r="R300" s="526">
        <v>1</v>
      </c>
      <c r="S300" s="525"/>
    </row>
    <row r="301" spans="16:19" ht="15">
      <c r="P301" s="742" t="s">
        <v>1207</v>
      </c>
      <c r="Q301" s="743" t="s">
        <v>732</v>
      </c>
      <c r="R301" s="524" t="s">
        <v>732</v>
      </c>
      <c r="S301" s="521">
        <v>1</v>
      </c>
    </row>
    <row r="302" spans="16:19" ht="15">
      <c r="P302" s="742" t="s">
        <v>1208</v>
      </c>
      <c r="Q302" s="743" t="s">
        <v>732</v>
      </c>
      <c r="R302" s="524" t="s">
        <v>732</v>
      </c>
      <c r="S302" s="521">
        <v>1</v>
      </c>
    </row>
    <row r="303" spans="16:19" ht="15">
      <c r="P303" s="742" t="s">
        <v>6437</v>
      </c>
      <c r="Q303" s="743"/>
      <c r="R303" s="524"/>
      <c r="S303" s="521">
        <v>1</v>
      </c>
    </row>
    <row r="304" spans="16:19" ht="15">
      <c r="P304" s="742" t="s">
        <v>5729</v>
      </c>
      <c r="Q304" s="743"/>
      <c r="R304" s="524"/>
      <c r="S304" s="521">
        <v>1</v>
      </c>
    </row>
    <row r="305" spans="16:19" ht="15">
      <c r="P305" s="742" t="s">
        <v>1209</v>
      </c>
      <c r="Q305" s="743" t="s">
        <v>732</v>
      </c>
      <c r="R305" s="524" t="s">
        <v>732</v>
      </c>
      <c r="S305" s="521">
        <v>1</v>
      </c>
    </row>
    <row r="306" spans="16:19" ht="15">
      <c r="P306" s="742" t="s">
        <v>1210</v>
      </c>
      <c r="Q306" s="743" t="s">
        <v>732</v>
      </c>
      <c r="R306" s="524" t="s">
        <v>732</v>
      </c>
      <c r="S306" s="521">
        <v>1</v>
      </c>
    </row>
    <row r="307" spans="16:19" ht="15">
      <c r="P307" s="742" t="s">
        <v>5730</v>
      </c>
      <c r="Q307" s="748">
        <v>1</v>
      </c>
      <c r="R307" s="526"/>
      <c r="S307" s="525"/>
    </row>
    <row r="308" spans="16:19" ht="15">
      <c r="P308" s="742" t="s">
        <v>3186</v>
      </c>
      <c r="Q308" s="743"/>
      <c r="R308" s="524"/>
      <c r="S308" s="521">
        <v>1</v>
      </c>
    </row>
    <row r="309" spans="16:19" ht="15">
      <c r="P309" s="742" t="s">
        <v>1211</v>
      </c>
      <c r="Q309" s="743" t="s">
        <v>732</v>
      </c>
      <c r="R309" s="524" t="s">
        <v>732</v>
      </c>
      <c r="S309" s="521">
        <v>1</v>
      </c>
    </row>
    <row r="310" spans="16:19" ht="15">
      <c r="P310" s="742" t="s">
        <v>1212</v>
      </c>
      <c r="Q310" s="743" t="s">
        <v>732</v>
      </c>
      <c r="R310" s="524" t="s">
        <v>732</v>
      </c>
      <c r="S310" s="521">
        <v>1</v>
      </c>
    </row>
    <row r="311" spans="16:19">
      <c r="P311" s="744" t="s">
        <v>1213</v>
      </c>
      <c r="Q311" s="743" t="s">
        <v>732</v>
      </c>
      <c r="R311" s="524" t="s">
        <v>732</v>
      </c>
      <c r="S311" s="521">
        <v>1</v>
      </c>
    </row>
    <row r="312" spans="16:19" ht="15">
      <c r="P312" s="742" t="s">
        <v>1214</v>
      </c>
      <c r="Q312" s="743" t="s">
        <v>732</v>
      </c>
      <c r="R312" s="524" t="s">
        <v>732</v>
      </c>
      <c r="S312" s="521">
        <v>1</v>
      </c>
    </row>
    <row r="313" spans="16:19" ht="15">
      <c r="P313" s="742" t="s">
        <v>1215</v>
      </c>
      <c r="Q313" s="748"/>
      <c r="R313" s="526">
        <v>1</v>
      </c>
      <c r="S313" s="525"/>
    </row>
    <row r="314" spans="16:19" ht="15">
      <c r="P314" s="742" t="s">
        <v>1216</v>
      </c>
      <c r="Q314" s="748"/>
      <c r="R314" s="526">
        <v>1</v>
      </c>
      <c r="S314" s="525"/>
    </row>
    <row r="315" spans="16:19" ht="15">
      <c r="P315" s="742" t="s">
        <v>5731</v>
      </c>
      <c r="Q315" s="743"/>
      <c r="R315" s="524"/>
      <c r="S315" s="521">
        <v>1</v>
      </c>
    </row>
    <row r="316" spans="16:19" ht="15">
      <c r="P316" s="742" t="s">
        <v>5732</v>
      </c>
      <c r="Q316" s="748">
        <v>1</v>
      </c>
      <c r="R316" s="526"/>
      <c r="S316" s="525"/>
    </row>
    <row r="317" spans="16:19">
      <c r="P317" s="747" t="s">
        <v>3207</v>
      </c>
      <c r="Q317" s="743"/>
      <c r="R317" s="524"/>
      <c r="S317" s="521">
        <v>1</v>
      </c>
    </row>
    <row r="318" spans="16:19" ht="15">
      <c r="P318" s="742" t="s">
        <v>1771</v>
      </c>
      <c r="Q318" s="743"/>
      <c r="R318" s="524"/>
      <c r="S318" s="521">
        <v>1</v>
      </c>
    </row>
    <row r="319" spans="16:19">
      <c r="P319" s="747" t="s">
        <v>3208</v>
      </c>
      <c r="Q319" s="743"/>
      <c r="R319" s="524"/>
      <c r="S319" s="521">
        <v>1</v>
      </c>
    </row>
    <row r="320" spans="16:19" ht="15">
      <c r="P320" s="742" t="s">
        <v>5733</v>
      </c>
      <c r="Q320" s="743"/>
      <c r="R320" s="524"/>
      <c r="S320" s="521">
        <v>1</v>
      </c>
    </row>
    <row r="321" spans="16:19" ht="15">
      <c r="P321" s="742" t="s">
        <v>1043</v>
      </c>
      <c r="Q321" s="743" t="s">
        <v>732</v>
      </c>
      <c r="R321" s="524" t="s">
        <v>732</v>
      </c>
      <c r="S321" s="521">
        <v>1</v>
      </c>
    </row>
    <row r="322" spans="16:19" ht="15">
      <c r="P322" s="742" t="s">
        <v>1049</v>
      </c>
      <c r="Q322" s="743" t="s">
        <v>732</v>
      </c>
      <c r="R322" s="524" t="s">
        <v>732</v>
      </c>
      <c r="S322" s="521">
        <v>1</v>
      </c>
    </row>
    <row r="323" spans="16:19" ht="15">
      <c r="P323" s="742" t="s">
        <v>5734</v>
      </c>
      <c r="Q323" s="743"/>
      <c r="R323" s="524"/>
      <c r="S323" s="521">
        <v>1</v>
      </c>
    </row>
    <row r="324" spans="16:19" ht="15">
      <c r="P324" s="742" t="s">
        <v>1217</v>
      </c>
      <c r="Q324" s="743" t="s">
        <v>732</v>
      </c>
      <c r="R324" s="524" t="s">
        <v>732</v>
      </c>
      <c r="S324" s="521">
        <v>1</v>
      </c>
    </row>
    <row r="325" spans="16:19" ht="15">
      <c r="P325" s="742" t="s">
        <v>1816</v>
      </c>
      <c r="Q325" s="743"/>
      <c r="R325" s="524"/>
      <c r="S325" s="521">
        <v>1</v>
      </c>
    </row>
    <row r="326" spans="16:19" ht="15">
      <c r="P326" s="742" t="s">
        <v>1815</v>
      </c>
      <c r="Q326" s="743"/>
      <c r="R326" s="524"/>
      <c r="S326" s="521">
        <v>1</v>
      </c>
    </row>
    <row r="327" spans="16:19" ht="15">
      <c r="P327" s="742" t="s">
        <v>1028</v>
      </c>
      <c r="Q327" s="743" t="s">
        <v>732</v>
      </c>
      <c r="R327" s="524" t="s">
        <v>732</v>
      </c>
      <c r="S327" s="521">
        <v>1</v>
      </c>
    </row>
    <row r="328" spans="16:19" ht="15">
      <c r="P328" s="742" t="s">
        <v>6438</v>
      </c>
      <c r="Q328" s="743"/>
      <c r="R328" s="524"/>
      <c r="S328" s="521">
        <v>1</v>
      </c>
    </row>
    <row r="329" spans="16:19" ht="15">
      <c r="P329" s="742" t="s">
        <v>1218</v>
      </c>
      <c r="Q329" s="743" t="s">
        <v>732</v>
      </c>
      <c r="R329" s="524" t="s">
        <v>732</v>
      </c>
      <c r="S329" s="521">
        <v>1</v>
      </c>
    </row>
    <row r="330" spans="16:19" ht="15">
      <c r="P330" s="742" t="s">
        <v>5735</v>
      </c>
      <c r="Q330" s="748">
        <v>1</v>
      </c>
      <c r="R330" s="526"/>
      <c r="S330" s="525"/>
    </row>
    <row r="331" spans="16:19" ht="15">
      <c r="P331" s="742" t="s">
        <v>1219</v>
      </c>
      <c r="Q331" s="748">
        <v>1</v>
      </c>
      <c r="R331" s="526"/>
      <c r="S331" s="525"/>
    </row>
    <row r="332" spans="16:19">
      <c r="P332" s="744" t="s">
        <v>1220</v>
      </c>
      <c r="Q332" s="743" t="s">
        <v>732</v>
      </c>
      <c r="R332" s="524" t="s">
        <v>732</v>
      </c>
      <c r="S332" s="521">
        <v>1</v>
      </c>
    </row>
    <row r="333" spans="16:19" ht="15">
      <c r="P333" s="742" t="s">
        <v>1221</v>
      </c>
      <c r="Q333" s="743" t="s">
        <v>732</v>
      </c>
      <c r="R333" s="524" t="s">
        <v>732</v>
      </c>
      <c r="S333" s="521">
        <v>1</v>
      </c>
    </row>
    <row r="334" spans="16:19" ht="15">
      <c r="P334" s="742" t="s">
        <v>1222</v>
      </c>
      <c r="Q334" s="743" t="s">
        <v>732</v>
      </c>
      <c r="R334" s="524" t="s">
        <v>732</v>
      </c>
      <c r="S334" s="521">
        <v>1</v>
      </c>
    </row>
    <row r="335" spans="16:19" ht="15">
      <c r="P335" s="742" t="s">
        <v>1804</v>
      </c>
      <c r="Q335" s="743"/>
      <c r="R335" s="524"/>
      <c r="S335" s="521">
        <v>1</v>
      </c>
    </row>
    <row r="336" spans="16:19">
      <c r="P336" s="744" t="s">
        <v>1223</v>
      </c>
      <c r="Q336" s="743" t="s">
        <v>732</v>
      </c>
      <c r="R336" s="524" t="s">
        <v>732</v>
      </c>
      <c r="S336" s="521">
        <v>1</v>
      </c>
    </row>
    <row r="337" spans="16:19" ht="15">
      <c r="P337" s="742" t="s">
        <v>1224</v>
      </c>
      <c r="Q337" s="743" t="s">
        <v>732</v>
      </c>
      <c r="R337" s="524" t="s">
        <v>732</v>
      </c>
      <c r="S337" s="521">
        <v>1</v>
      </c>
    </row>
    <row r="338" spans="16:19" ht="15">
      <c r="P338" s="742" t="s">
        <v>1772</v>
      </c>
      <c r="Q338" s="743"/>
      <c r="R338" s="524"/>
      <c r="S338" s="521">
        <v>1</v>
      </c>
    </row>
    <row r="339" spans="16:19" ht="15">
      <c r="P339" s="742" t="s">
        <v>1225</v>
      </c>
      <c r="Q339" s="743" t="s">
        <v>732</v>
      </c>
      <c r="R339" s="524" t="s">
        <v>732</v>
      </c>
      <c r="S339" s="521">
        <v>1</v>
      </c>
    </row>
    <row r="340" spans="16:19" ht="15">
      <c r="P340" s="742" t="s">
        <v>1226</v>
      </c>
      <c r="Q340" s="748">
        <v>1</v>
      </c>
      <c r="R340" s="526"/>
      <c r="S340" s="525"/>
    </row>
    <row r="341" spans="16:19" ht="15">
      <c r="P341" s="742" t="s">
        <v>5736</v>
      </c>
      <c r="Q341" s="743"/>
      <c r="R341" s="524"/>
      <c r="S341" s="521">
        <v>1</v>
      </c>
    </row>
    <row r="342" spans="16:19" ht="15">
      <c r="P342" s="742" t="s">
        <v>3193</v>
      </c>
      <c r="Q342" s="748">
        <v>1</v>
      </c>
      <c r="R342" s="526"/>
      <c r="S342" s="525"/>
    </row>
    <row r="343" spans="16:19">
      <c r="P343" s="747" t="s">
        <v>3209</v>
      </c>
      <c r="Q343" s="743"/>
      <c r="R343" s="524"/>
      <c r="S343" s="521">
        <v>1</v>
      </c>
    </row>
    <row r="344" spans="16:19" ht="15">
      <c r="P344" s="742" t="s">
        <v>6439</v>
      </c>
      <c r="Q344" s="743"/>
      <c r="R344" s="524"/>
      <c r="S344" s="521">
        <v>1</v>
      </c>
    </row>
    <row r="345" spans="16:19" ht="15">
      <c r="P345" s="742" t="s">
        <v>1227</v>
      </c>
      <c r="Q345" s="743" t="s">
        <v>732</v>
      </c>
      <c r="R345" s="524" t="s">
        <v>732</v>
      </c>
      <c r="S345" s="521">
        <v>1</v>
      </c>
    </row>
    <row r="346" spans="16:19">
      <c r="P346" s="744" t="s">
        <v>2892</v>
      </c>
      <c r="Q346" s="743"/>
      <c r="R346" s="524"/>
      <c r="S346" s="521">
        <v>1</v>
      </c>
    </row>
    <row r="347" spans="16:19">
      <c r="P347" s="744" t="s">
        <v>1139</v>
      </c>
      <c r="Q347" s="743" t="s">
        <v>732</v>
      </c>
      <c r="R347" s="524" t="s">
        <v>732</v>
      </c>
      <c r="S347" s="521">
        <v>1</v>
      </c>
    </row>
    <row r="348" spans="16:19" ht="15">
      <c r="P348" s="742" t="s">
        <v>1228</v>
      </c>
      <c r="Q348" s="743" t="s">
        <v>732</v>
      </c>
      <c r="R348" s="524" t="s">
        <v>732</v>
      </c>
      <c r="S348" s="521">
        <v>1</v>
      </c>
    </row>
    <row r="349" spans="16:19">
      <c r="P349" s="744" t="s">
        <v>1229</v>
      </c>
      <c r="Q349" s="748">
        <v>1</v>
      </c>
      <c r="R349" s="526"/>
      <c r="S349" s="525"/>
    </row>
    <row r="350" spans="16:19">
      <c r="P350" s="747" t="s">
        <v>3210</v>
      </c>
      <c r="Q350" s="743"/>
      <c r="R350" s="524"/>
      <c r="S350" s="521">
        <v>1</v>
      </c>
    </row>
    <row r="351" spans="16:19">
      <c r="P351" s="747" t="s">
        <v>3211</v>
      </c>
      <c r="Q351" s="743"/>
      <c r="R351" s="524"/>
      <c r="S351" s="521">
        <v>1</v>
      </c>
    </row>
    <row r="352" spans="16:19" ht="15">
      <c r="P352" s="742" t="s">
        <v>1230</v>
      </c>
      <c r="Q352" s="743" t="s">
        <v>732</v>
      </c>
      <c r="R352" s="524" t="s">
        <v>732</v>
      </c>
      <c r="S352" s="521">
        <v>1</v>
      </c>
    </row>
    <row r="353" spans="16:19">
      <c r="P353" s="744" t="s">
        <v>2897</v>
      </c>
      <c r="Q353" s="743"/>
      <c r="R353" s="524"/>
      <c r="S353" s="521">
        <v>1</v>
      </c>
    </row>
    <row r="354" spans="16:19" ht="15">
      <c r="P354" s="742" t="s">
        <v>5737</v>
      </c>
      <c r="Q354" s="748">
        <v>1</v>
      </c>
      <c r="R354" s="526"/>
      <c r="S354" s="525" t="s">
        <v>732</v>
      </c>
    </row>
    <row r="355" spans="16:19">
      <c r="P355" s="744" t="s">
        <v>1231</v>
      </c>
      <c r="Q355" s="743" t="s">
        <v>732</v>
      </c>
      <c r="R355" s="524" t="s">
        <v>732</v>
      </c>
      <c r="S355" s="521">
        <v>1</v>
      </c>
    </row>
    <row r="356" spans="16:19" ht="15">
      <c r="P356" s="742" t="s">
        <v>1232</v>
      </c>
      <c r="Q356" s="743" t="s">
        <v>732</v>
      </c>
      <c r="R356" s="524" t="s">
        <v>732</v>
      </c>
      <c r="S356" s="521">
        <v>1</v>
      </c>
    </row>
    <row r="357" spans="16:19">
      <c r="P357" s="747" t="s">
        <v>3212</v>
      </c>
      <c r="Q357" s="743" t="s">
        <v>732</v>
      </c>
      <c r="R357" s="524" t="s">
        <v>732</v>
      </c>
      <c r="S357" s="521">
        <v>1</v>
      </c>
    </row>
    <row r="358" spans="16:19">
      <c r="P358" s="747" t="s">
        <v>1773</v>
      </c>
      <c r="Q358" s="743"/>
      <c r="R358" s="524"/>
      <c r="S358" s="521">
        <v>1</v>
      </c>
    </row>
    <row r="359" spans="16:19" ht="15">
      <c r="P359" s="742" t="s">
        <v>1233</v>
      </c>
      <c r="Q359" s="743" t="s">
        <v>732</v>
      </c>
      <c r="R359" s="524" t="s">
        <v>732</v>
      </c>
      <c r="S359" s="521">
        <v>1</v>
      </c>
    </row>
    <row r="360" spans="16:19" ht="15">
      <c r="P360" s="742" t="s">
        <v>1234</v>
      </c>
      <c r="Q360" s="743" t="s">
        <v>732</v>
      </c>
      <c r="R360" s="524" t="s">
        <v>732</v>
      </c>
      <c r="S360" s="521">
        <v>1</v>
      </c>
    </row>
    <row r="361" spans="16:19" ht="15">
      <c r="P361" s="742" t="s">
        <v>1235</v>
      </c>
      <c r="Q361" s="743" t="s">
        <v>732</v>
      </c>
      <c r="R361" s="524" t="s">
        <v>732</v>
      </c>
      <c r="S361" s="521">
        <v>1</v>
      </c>
    </row>
    <row r="362" spans="16:19">
      <c r="P362" s="747" t="s">
        <v>3213</v>
      </c>
      <c r="Q362" s="743"/>
      <c r="R362" s="524"/>
      <c r="S362" s="521">
        <v>1</v>
      </c>
    </row>
    <row r="363" spans="16:19" ht="15">
      <c r="P363" s="742" t="s">
        <v>1236</v>
      </c>
      <c r="Q363" s="743" t="s">
        <v>732</v>
      </c>
      <c r="R363" s="524" t="s">
        <v>732</v>
      </c>
      <c r="S363" s="521">
        <v>1</v>
      </c>
    </row>
    <row r="364" spans="16:19" ht="15">
      <c r="P364" s="742" t="s">
        <v>1237</v>
      </c>
      <c r="Q364" s="743" t="s">
        <v>732</v>
      </c>
      <c r="R364" s="524" t="s">
        <v>732</v>
      </c>
      <c r="S364" s="521">
        <v>1</v>
      </c>
    </row>
    <row r="365" spans="16:19" ht="15">
      <c r="P365" s="742" t="s">
        <v>1238</v>
      </c>
      <c r="Q365" s="743" t="s">
        <v>732</v>
      </c>
      <c r="R365" s="524" t="s">
        <v>732</v>
      </c>
      <c r="S365" s="521">
        <v>1</v>
      </c>
    </row>
    <row r="366" spans="16:19">
      <c r="P366" s="747" t="s">
        <v>3214</v>
      </c>
      <c r="Q366" s="743" t="s">
        <v>732</v>
      </c>
      <c r="R366" s="524" t="s">
        <v>732</v>
      </c>
      <c r="S366" s="521">
        <v>1</v>
      </c>
    </row>
    <row r="367" spans="16:19">
      <c r="P367" s="747" t="s">
        <v>2894</v>
      </c>
      <c r="Q367" s="748">
        <v>1</v>
      </c>
      <c r="R367" s="526"/>
      <c r="S367" s="525" t="s">
        <v>732</v>
      </c>
    </row>
    <row r="368" spans="16:19" ht="15">
      <c r="P368" s="742" t="s">
        <v>1239</v>
      </c>
      <c r="Q368" s="748" t="s">
        <v>732</v>
      </c>
      <c r="R368" s="526">
        <v>1</v>
      </c>
      <c r="S368" s="525" t="s">
        <v>732</v>
      </c>
    </row>
    <row r="369" spans="16:19" ht="15">
      <c r="P369" s="742" t="s">
        <v>1240</v>
      </c>
      <c r="Q369" s="743" t="s">
        <v>732</v>
      </c>
      <c r="R369" s="524" t="s">
        <v>732</v>
      </c>
      <c r="S369" s="521">
        <v>1</v>
      </c>
    </row>
    <row r="370" spans="16:19" ht="15">
      <c r="P370" s="742" t="s">
        <v>1241</v>
      </c>
      <c r="Q370" s="743" t="s">
        <v>732</v>
      </c>
      <c r="R370" s="524" t="s">
        <v>732</v>
      </c>
      <c r="S370" s="521">
        <v>1</v>
      </c>
    </row>
    <row r="371" spans="16:19" ht="15">
      <c r="P371" s="742" t="s">
        <v>1242</v>
      </c>
      <c r="Q371" s="743" t="s">
        <v>732</v>
      </c>
      <c r="R371" s="524" t="s">
        <v>732</v>
      </c>
      <c r="S371" s="521">
        <v>1</v>
      </c>
    </row>
    <row r="372" spans="16:19" ht="15">
      <c r="P372" s="742" t="s">
        <v>6440</v>
      </c>
      <c r="Q372" s="743"/>
      <c r="R372" s="524"/>
      <c r="S372" s="521">
        <v>1</v>
      </c>
    </row>
    <row r="373" spans="16:19" ht="15">
      <c r="P373" s="742" t="s">
        <v>1243</v>
      </c>
      <c r="Q373" s="748">
        <v>1</v>
      </c>
      <c r="R373" s="526" t="s">
        <v>732</v>
      </c>
      <c r="S373" s="525" t="s">
        <v>732</v>
      </c>
    </row>
    <row r="374" spans="16:19" ht="15">
      <c r="P374" s="742" t="s">
        <v>1244</v>
      </c>
      <c r="Q374" s="748">
        <v>1</v>
      </c>
      <c r="R374" s="526" t="s">
        <v>732</v>
      </c>
      <c r="S374" s="525" t="s">
        <v>732</v>
      </c>
    </row>
    <row r="375" spans="16:19" ht="15">
      <c r="P375" s="742" t="s">
        <v>1245</v>
      </c>
      <c r="Q375" s="743" t="s">
        <v>732</v>
      </c>
      <c r="R375" s="524" t="s">
        <v>732</v>
      </c>
      <c r="S375" s="521">
        <v>1</v>
      </c>
    </row>
    <row r="376" spans="16:19" ht="15">
      <c r="P376" s="742" t="s">
        <v>6441</v>
      </c>
      <c r="Q376" s="743"/>
      <c r="R376" s="524"/>
      <c r="S376" s="521">
        <v>1</v>
      </c>
    </row>
    <row r="377" spans="16:19">
      <c r="P377" s="747" t="s">
        <v>3215</v>
      </c>
      <c r="Q377" s="743"/>
      <c r="R377" s="524"/>
      <c r="S377" s="521">
        <v>1</v>
      </c>
    </row>
    <row r="378" spans="16:19" ht="15">
      <c r="P378" s="742" t="s">
        <v>1246</v>
      </c>
      <c r="Q378" s="743" t="s">
        <v>732</v>
      </c>
      <c r="R378" s="524" t="s">
        <v>732</v>
      </c>
      <c r="S378" s="521">
        <v>1</v>
      </c>
    </row>
    <row r="379" spans="16:19" ht="15">
      <c r="P379" s="742" t="s">
        <v>1247</v>
      </c>
      <c r="Q379" s="743" t="s">
        <v>732</v>
      </c>
      <c r="R379" s="524" t="s">
        <v>732</v>
      </c>
      <c r="S379" s="521">
        <v>1</v>
      </c>
    </row>
    <row r="380" spans="16:19" ht="15">
      <c r="P380" s="750" t="s">
        <v>1818</v>
      </c>
      <c r="Q380" s="751"/>
      <c r="R380" s="531"/>
      <c r="S380" s="530">
        <v>1</v>
      </c>
    </row>
    <row r="381" spans="16:19" ht="15">
      <c r="P381" s="750" t="s">
        <v>1248</v>
      </c>
      <c r="Q381" s="751" t="s">
        <v>732</v>
      </c>
      <c r="R381" s="531" t="s">
        <v>732</v>
      </c>
      <c r="S381" s="530">
        <v>1</v>
      </c>
    </row>
    <row r="382" spans="16:19" ht="15.75" thickBot="1">
      <c r="P382" s="750" t="s">
        <v>1817</v>
      </c>
      <c r="Q382" s="751"/>
      <c r="R382" s="531"/>
      <c r="S382" s="530">
        <v>1</v>
      </c>
    </row>
    <row r="383" spans="16:19" ht="13.5" thickBot="1">
      <c r="P383" s="533" t="s">
        <v>3216</v>
      </c>
      <c r="Q383" s="752">
        <f>SUM(Q13:Q382)</f>
        <v>32</v>
      </c>
      <c r="R383" s="752">
        <f>SUM(R13:R382)</f>
        <v>22</v>
      </c>
      <c r="S383" s="752">
        <f>SUM(S13:S382)</f>
        <v>316</v>
      </c>
    </row>
    <row r="384" spans="16:19">
      <c r="P384" s="734"/>
      <c r="Q384" s="753"/>
      <c r="R384" s="753"/>
      <c r="S384" s="753"/>
    </row>
    <row r="385" spans="16:19" ht="15.75">
      <c r="P385" s="2029" t="s">
        <v>248</v>
      </c>
      <c r="Q385" s="2029"/>
      <c r="R385" s="2029"/>
      <c r="S385" s="753"/>
    </row>
    <row r="386" spans="16:19" ht="13.5" thickBot="1">
      <c r="P386" s="734"/>
      <c r="Q386" s="753"/>
      <c r="R386" s="753"/>
      <c r="S386" s="753"/>
    </row>
    <row r="387" spans="16:19" ht="26.25" thickBot="1">
      <c r="P387" s="534" t="s">
        <v>1249</v>
      </c>
      <c r="Q387" s="535" t="s">
        <v>246</v>
      </c>
      <c r="R387" s="536" t="s">
        <v>245</v>
      </c>
      <c r="S387" s="535" t="s">
        <v>1250</v>
      </c>
    </row>
    <row r="388" spans="16:19">
      <c r="P388" s="520" t="s">
        <v>1251</v>
      </c>
      <c r="Q388" s="522">
        <v>1</v>
      </c>
      <c r="R388" s="537"/>
      <c r="S388" s="522"/>
    </row>
    <row r="389" spans="16:19">
      <c r="P389" s="527" t="s">
        <v>1252</v>
      </c>
      <c r="Q389" s="521"/>
      <c r="R389" s="538"/>
      <c r="S389" s="521">
        <v>1</v>
      </c>
    </row>
    <row r="390" spans="16:19">
      <c r="P390" s="527" t="s">
        <v>1253</v>
      </c>
      <c r="Q390" s="521"/>
      <c r="R390" s="538"/>
      <c r="S390" s="521">
        <v>1</v>
      </c>
    </row>
    <row r="391" spans="16:19">
      <c r="P391" s="527" t="s">
        <v>1254</v>
      </c>
      <c r="Q391" s="521"/>
      <c r="R391" s="538"/>
      <c r="S391" s="521">
        <v>1</v>
      </c>
    </row>
    <row r="392" spans="16:19">
      <c r="P392" s="527" t="s">
        <v>1255</v>
      </c>
      <c r="Q392" s="521"/>
      <c r="R392" s="538"/>
      <c r="S392" s="521">
        <v>1</v>
      </c>
    </row>
    <row r="393" spans="16:19">
      <c r="P393" s="527" t="s">
        <v>1256</v>
      </c>
      <c r="Q393" s="521"/>
      <c r="R393" s="538">
        <v>1</v>
      </c>
      <c r="S393" s="521"/>
    </row>
    <row r="394" spans="16:19">
      <c r="P394" s="527" t="s">
        <v>1257</v>
      </c>
      <c r="Q394" s="521">
        <v>1</v>
      </c>
      <c r="R394" s="538"/>
      <c r="S394" s="521"/>
    </row>
    <row r="395" spans="16:19">
      <c r="P395" s="527" t="s">
        <v>1258</v>
      </c>
      <c r="Q395" s="521">
        <v>1</v>
      </c>
      <c r="R395" s="538"/>
      <c r="S395" s="521"/>
    </row>
    <row r="396" spans="16:19">
      <c r="P396" s="527" t="s">
        <v>1259</v>
      </c>
      <c r="Q396" s="521"/>
      <c r="R396" s="538">
        <v>1</v>
      </c>
      <c r="S396" s="521"/>
    </row>
    <row r="397" spans="16:19">
      <c r="P397" s="527" t="s">
        <v>1260</v>
      </c>
      <c r="Q397" s="521">
        <v>1</v>
      </c>
      <c r="R397" s="538"/>
      <c r="S397" s="521"/>
    </row>
    <row r="398" spans="16:19">
      <c r="P398" s="527" t="s">
        <v>1261</v>
      </c>
      <c r="Q398" s="521">
        <v>1</v>
      </c>
      <c r="R398" s="538"/>
      <c r="S398" s="521"/>
    </row>
    <row r="399" spans="16:19">
      <c r="P399" s="527" t="s">
        <v>1262</v>
      </c>
      <c r="Q399" s="521"/>
      <c r="R399" s="538"/>
      <c r="S399" s="521">
        <v>1</v>
      </c>
    </row>
    <row r="400" spans="16:19">
      <c r="P400" s="527" t="s">
        <v>1263</v>
      </c>
      <c r="Q400" s="521"/>
      <c r="R400" s="538">
        <v>1</v>
      </c>
      <c r="S400" s="521"/>
    </row>
    <row r="401" spans="16:19">
      <c r="P401" s="527" t="s">
        <v>1264</v>
      </c>
      <c r="Q401" s="521">
        <v>1</v>
      </c>
      <c r="R401" s="538"/>
      <c r="S401" s="521"/>
    </row>
    <row r="402" spans="16:19">
      <c r="P402" s="527" t="s">
        <v>1265</v>
      </c>
      <c r="Q402" s="521"/>
      <c r="R402" s="538"/>
      <c r="S402" s="521">
        <v>1</v>
      </c>
    </row>
    <row r="403" spans="16:19">
      <c r="P403" s="527" t="s">
        <v>1266</v>
      </c>
      <c r="Q403" s="528">
        <v>1</v>
      </c>
      <c r="R403" s="539"/>
      <c r="S403" s="528"/>
    </row>
    <row r="404" spans="16:19">
      <c r="P404" s="527" t="s">
        <v>1267</v>
      </c>
      <c r="Q404" s="521">
        <v>1</v>
      </c>
      <c r="R404" s="538"/>
      <c r="S404" s="521"/>
    </row>
    <row r="405" spans="16:19">
      <c r="P405" s="527" t="s">
        <v>1268</v>
      </c>
      <c r="Q405" s="521"/>
      <c r="R405" s="538">
        <v>1</v>
      </c>
      <c r="S405" s="521"/>
    </row>
    <row r="406" spans="16:19">
      <c r="P406" s="527" t="s">
        <v>1269</v>
      </c>
      <c r="Q406" s="521"/>
      <c r="R406" s="538"/>
      <c r="S406" s="521">
        <v>1</v>
      </c>
    </row>
    <row r="407" spans="16:19">
      <c r="P407" s="527" t="s">
        <v>1270</v>
      </c>
      <c r="Q407" s="521">
        <v>1</v>
      </c>
      <c r="R407" s="538"/>
      <c r="S407" s="521"/>
    </row>
    <row r="408" spans="16:19">
      <c r="P408" s="527" t="s">
        <v>1047</v>
      </c>
      <c r="Q408" s="521"/>
      <c r="R408" s="538"/>
      <c r="S408" s="521">
        <v>1</v>
      </c>
    </row>
    <row r="409" spans="16:19" ht="13.5" thickBot="1">
      <c r="P409" s="540" t="s">
        <v>1271</v>
      </c>
      <c r="Q409" s="541"/>
      <c r="R409" s="542">
        <v>1</v>
      </c>
      <c r="S409" s="541"/>
    </row>
    <row r="410" spans="16:19" ht="13.5" thickBot="1">
      <c r="P410" s="1342" t="s">
        <v>5738</v>
      </c>
      <c r="Q410" s="1343" t="s">
        <v>732</v>
      </c>
      <c r="R410" s="1344"/>
      <c r="S410" s="1343">
        <v>1</v>
      </c>
    </row>
    <row r="411" spans="16:19" ht="13.5" thickBot="1">
      <c r="P411" s="543" t="s">
        <v>3217</v>
      </c>
      <c r="Q411" s="533">
        <f>SUM(Q388:Q410)</f>
        <v>9</v>
      </c>
      <c r="R411" s="533">
        <f t="shared" ref="R411:S411" si="0">SUM(R388:R410)</f>
        <v>5</v>
      </c>
      <c r="S411" s="533">
        <f t="shared" si="0"/>
        <v>9</v>
      </c>
    </row>
    <row r="412" spans="16:19">
      <c r="P412" s="734"/>
      <c r="Q412" s="753"/>
      <c r="R412" s="753"/>
      <c r="S412" s="753"/>
    </row>
    <row r="413" spans="16:19" ht="15.75">
      <c r="P413" s="2029" t="s">
        <v>218</v>
      </c>
      <c r="Q413" s="2029"/>
      <c r="R413" s="2029"/>
      <c r="S413" s="754"/>
    </row>
    <row r="414" spans="16:19" ht="15.75" thickBot="1">
      <c r="P414" s="754"/>
      <c r="Q414" s="754"/>
      <c r="R414" s="754"/>
      <c r="S414" s="754"/>
    </row>
    <row r="415" spans="16:19" ht="39" thickBot="1">
      <c r="P415" s="534" t="s">
        <v>1249</v>
      </c>
      <c r="Q415" s="535" t="s">
        <v>244</v>
      </c>
      <c r="R415" s="535" t="s">
        <v>243</v>
      </c>
      <c r="S415" s="754"/>
    </row>
    <row r="416" spans="16:19" ht="15">
      <c r="P416" s="755" t="s">
        <v>1272</v>
      </c>
      <c r="Q416" s="756">
        <v>1</v>
      </c>
      <c r="R416" s="756"/>
      <c r="S416" s="754"/>
    </row>
    <row r="417" spans="16:19" ht="15">
      <c r="P417" s="757" t="s">
        <v>1273</v>
      </c>
      <c r="Q417" s="756">
        <v>1</v>
      </c>
      <c r="R417" s="758" t="s">
        <v>732</v>
      </c>
      <c r="S417" s="754"/>
    </row>
    <row r="418" spans="16:19" ht="15">
      <c r="P418" s="757" t="s">
        <v>1274</v>
      </c>
      <c r="Q418" s="759"/>
      <c r="R418" s="759">
        <v>1</v>
      </c>
      <c r="S418" s="754"/>
    </row>
    <row r="419" spans="16:19" ht="15">
      <c r="P419" s="757" t="s">
        <v>1275</v>
      </c>
      <c r="Q419" s="759"/>
      <c r="R419" s="759">
        <v>1</v>
      </c>
      <c r="S419" s="754"/>
    </row>
    <row r="420" spans="16:19" ht="15">
      <c r="P420" s="757" t="s">
        <v>1276</v>
      </c>
      <c r="Q420" s="759">
        <v>1</v>
      </c>
      <c r="R420" s="759"/>
      <c r="S420" s="754"/>
    </row>
    <row r="421" spans="16:19" ht="15">
      <c r="P421" s="757" t="s">
        <v>1277</v>
      </c>
      <c r="Q421" s="759"/>
      <c r="R421" s="759">
        <v>1</v>
      </c>
      <c r="S421" s="754"/>
    </row>
    <row r="422" spans="16:19" ht="15">
      <c r="P422" s="757" t="s">
        <v>1278</v>
      </c>
      <c r="Q422" s="759"/>
      <c r="R422" s="759">
        <v>1</v>
      </c>
      <c r="S422" s="754"/>
    </row>
    <row r="423" spans="16:19" ht="15">
      <c r="P423" s="757" t="s">
        <v>1794</v>
      </c>
      <c r="Q423" s="759"/>
      <c r="R423" s="759">
        <v>1</v>
      </c>
      <c r="S423" s="754"/>
    </row>
    <row r="424" spans="16:19" ht="15">
      <c r="P424" s="757" t="s">
        <v>1279</v>
      </c>
      <c r="Q424" s="759"/>
      <c r="R424" s="759">
        <v>1</v>
      </c>
      <c r="S424" s="754"/>
    </row>
    <row r="425" spans="16:19" ht="15">
      <c r="P425" s="757" t="s">
        <v>1280</v>
      </c>
      <c r="Q425" s="759"/>
      <c r="R425" s="759">
        <v>1</v>
      </c>
      <c r="S425" s="754"/>
    </row>
    <row r="426" spans="16:19" ht="15">
      <c r="P426" s="560" t="s">
        <v>3218</v>
      </c>
      <c r="Q426" s="759"/>
      <c r="R426" s="759">
        <v>1</v>
      </c>
      <c r="S426" s="754"/>
    </row>
    <row r="427" spans="16:19" ht="15">
      <c r="P427" s="757" t="s">
        <v>1281</v>
      </c>
      <c r="Q427" s="759"/>
      <c r="R427" s="759">
        <v>1</v>
      </c>
      <c r="S427" s="754"/>
    </row>
    <row r="428" spans="16:19" ht="15.75" thickBot="1">
      <c r="P428" s="760" t="s">
        <v>1078</v>
      </c>
      <c r="Q428" s="761"/>
      <c r="R428" s="761">
        <v>1</v>
      </c>
      <c r="S428" s="754"/>
    </row>
    <row r="429" spans="16:19" ht="15.75" thickBot="1">
      <c r="P429" s="532" t="s">
        <v>3219</v>
      </c>
      <c r="Q429" s="533">
        <f>SUM(Q416:Q428)</f>
        <v>3</v>
      </c>
      <c r="R429" s="533">
        <f>SUM(R416:R428)</f>
        <v>10</v>
      </c>
      <c r="S429" s="754"/>
    </row>
    <row r="430" spans="16:19" ht="15">
      <c r="P430" s="754"/>
      <c r="Q430" s="754"/>
      <c r="R430" s="754"/>
      <c r="S430" s="754"/>
    </row>
    <row r="431" spans="16:19" ht="15">
      <c r="P431" s="754"/>
      <c r="Q431" s="754"/>
      <c r="R431" s="754"/>
      <c r="S431" s="754"/>
    </row>
    <row r="432" spans="16:19" ht="15.75">
      <c r="P432" s="2029" t="s">
        <v>251</v>
      </c>
      <c r="Q432" s="2029"/>
      <c r="R432" s="2029"/>
      <c r="S432" s="2029"/>
    </row>
    <row r="433" spans="16:19" ht="15.75" thickBot="1">
      <c r="P433" s="754"/>
      <c r="Q433" s="754"/>
      <c r="R433" s="754"/>
      <c r="S433" s="754"/>
    </row>
    <row r="434" spans="16:19" ht="26.25" thickBot="1">
      <c r="P434" s="535" t="s">
        <v>1249</v>
      </c>
      <c r="Q434" s="535" t="s">
        <v>246</v>
      </c>
      <c r="R434" s="536" t="s">
        <v>245</v>
      </c>
      <c r="S434" s="535" t="s">
        <v>1250</v>
      </c>
    </row>
    <row r="435" spans="16:19" ht="15">
      <c r="P435" s="755" t="s">
        <v>1271</v>
      </c>
      <c r="Q435" s="522"/>
      <c r="R435" s="537">
        <v>1</v>
      </c>
      <c r="S435" s="522"/>
    </row>
    <row r="436" spans="16:19" ht="15">
      <c r="P436" s="757" t="s">
        <v>1282</v>
      </c>
      <c r="Q436" s="521">
        <v>1</v>
      </c>
      <c r="R436" s="538"/>
      <c r="S436" s="521" t="s">
        <v>732</v>
      </c>
    </row>
    <row r="437" spans="16:19" ht="15">
      <c r="P437" s="757" t="s">
        <v>1276</v>
      </c>
      <c r="Q437" s="521"/>
      <c r="R437" s="538">
        <v>1</v>
      </c>
      <c r="S437" s="521"/>
    </row>
    <row r="438" spans="16:19" ht="15">
      <c r="P438" s="757" t="s">
        <v>1283</v>
      </c>
      <c r="Q438" s="521"/>
      <c r="R438" s="538"/>
      <c r="S438" s="521">
        <v>1</v>
      </c>
    </row>
    <row r="439" spans="16:19" ht="15">
      <c r="P439" s="757" t="s">
        <v>1312</v>
      </c>
      <c r="Q439" s="521"/>
      <c r="R439" s="538"/>
      <c r="S439" s="521">
        <v>1</v>
      </c>
    </row>
    <row r="440" spans="16:19" ht="15">
      <c r="P440" s="757" t="s">
        <v>1284</v>
      </c>
      <c r="Q440" s="521">
        <v>1</v>
      </c>
      <c r="R440" s="538"/>
      <c r="S440" s="521"/>
    </row>
    <row r="441" spans="16:19" ht="15">
      <c r="P441" s="757" t="s">
        <v>6442</v>
      </c>
      <c r="Q441" s="521"/>
      <c r="R441" s="538"/>
      <c r="S441" s="521">
        <v>1</v>
      </c>
    </row>
    <row r="442" spans="16:19" ht="15">
      <c r="P442" s="757" t="s">
        <v>6443</v>
      </c>
      <c r="Q442" s="521"/>
      <c r="R442" s="538"/>
      <c r="S442" s="521">
        <v>1</v>
      </c>
    </row>
    <row r="443" spans="16:19" ht="15">
      <c r="P443" s="757" t="s">
        <v>1285</v>
      </c>
      <c r="Q443" s="521"/>
      <c r="R443" s="538"/>
      <c r="S443" s="521">
        <v>1</v>
      </c>
    </row>
    <row r="444" spans="16:19" ht="15.75" thickBot="1">
      <c r="P444" s="760" t="s">
        <v>5739</v>
      </c>
      <c r="Q444" s="541"/>
      <c r="R444" s="542"/>
      <c r="S444" s="541">
        <v>1</v>
      </c>
    </row>
    <row r="445" spans="16:19" ht="13.5" thickBot="1">
      <c r="P445" s="544" t="s">
        <v>3217</v>
      </c>
      <c r="Q445" s="533">
        <f>SUM(Q435:Q444)</f>
        <v>2</v>
      </c>
      <c r="R445" s="533">
        <f t="shared" ref="R445" si="1">SUM(R435:R444)</f>
        <v>2</v>
      </c>
      <c r="S445" s="533">
        <f>SUM(S435:S444)</f>
        <v>6</v>
      </c>
    </row>
    <row r="446" spans="16:19" ht="15">
      <c r="P446" s="754"/>
      <c r="Q446" s="754"/>
      <c r="R446" s="754"/>
      <c r="S446" s="754"/>
    </row>
    <row r="447" spans="16:19" ht="15">
      <c r="P447" s="754"/>
      <c r="Q447" s="754"/>
      <c r="R447" s="754"/>
      <c r="S447" s="754"/>
    </row>
    <row r="448" spans="16:19" ht="15.75">
      <c r="P448" s="2030" t="s">
        <v>95</v>
      </c>
      <c r="Q448" s="2030"/>
      <c r="R448" s="754"/>
      <c r="S448" s="754"/>
    </row>
    <row r="449" spans="16:18" ht="15.75" thickBot="1">
      <c r="P449" s="754"/>
      <c r="Q449" s="754"/>
      <c r="R449" s="754"/>
    </row>
    <row r="450" spans="16:18" ht="45.75" thickBot="1">
      <c r="P450" s="545" t="s">
        <v>1249</v>
      </c>
      <c r="Q450" s="1345" t="s">
        <v>244</v>
      </c>
      <c r="R450" s="754"/>
    </row>
    <row r="451" spans="16:18" ht="15">
      <c r="P451" s="755" t="s">
        <v>1286</v>
      </c>
      <c r="Q451" s="756">
        <v>1</v>
      </c>
      <c r="R451" s="754"/>
    </row>
    <row r="452" spans="16:18" ht="15">
      <c r="P452" s="757" t="s">
        <v>1034</v>
      </c>
      <c r="Q452" s="759">
        <v>1</v>
      </c>
      <c r="R452" s="754"/>
    </row>
    <row r="453" spans="16:18" ht="15">
      <c r="P453" s="757" t="s">
        <v>1287</v>
      </c>
      <c r="Q453" s="759">
        <v>1</v>
      </c>
      <c r="R453" s="754"/>
    </row>
    <row r="454" spans="16:18" ht="15">
      <c r="P454" s="757" t="s">
        <v>5740</v>
      </c>
      <c r="Q454" s="759">
        <v>1</v>
      </c>
      <c r="R454" s="754"/>
    </row>
    <row r="455" spans="16:18" ht="15">
      <c r="P455" s="757" t="s">
        <v>1288</v>
      </c>
      <c r="Q455" s="759">
        <v>1</v>
      </c>
      <c r="R455" s="754"/>
    </row>
    <row r="456" spans="16:18" ht="15">
      <c r="P456" s="757" t="s">
        <v>1115</v>
      </c>
      <c r="Q456" s="759">
        <v>1</v>
      </c>
      <c r="R456" s="754"/>
    </row>
    <row r="457" spans="16:18" ht="15">
      <c r="P457" s="757" t="s">
        <v>1289</v>
      </c>
      <c r="Q457" s="759">
        <v>1</v>
      </c>
      <c r="R457" s="754"/>
    </row>
    <row r="458" spans="16:18" ht="15">
      <c r="P458" s="757" t="s">
        <v>5741</v>
      </c>
      <c r="Q458" s="759">
        <v>1</v>
      </c>
      <c r="R458" s="754"/>
    </row>
    <row r="459" spans="16:18" ht="15">
      <c r="P459" s="757" t="s">
        <v>1290</v>
      </c>
      <c r="Q459" s="759">
        <v>1</v>
      </c>
      <c r="R459" s="754"/>
    </row>
    <row r="460" spans="16:18" ht="15">
      <c r="P460" s="757" t="s">
        <v>1291</v>
      </c>
      <c r="Q460" s="759">
        <v>1</v>
      </c>
      <c r="R460" s="754"/>
    </row>
    <row r="461" spans="16:18" ht="15">
      <c r="P461" s="757" t="s">
        <v>1292</v>
      </c>
      <c r="Q461" s="759">
        <v>1</v>
      </c>
      <c r="R461" s="754"/>
    </row>
    <row r="462" spans="16:18" ht="15">
      <c r="P462" s="762" t="s">
        <v>5742</v>
      </c>
      <c r="Q462" s="763">
        <v>1</v>
      </c>
      <c r="R462" s="754"/>
    </row>
    <row r="463" spans="16:18" ht="15">
      <c r="P463" s="762" t="s">
        <v>1293</v>
      </c>
      <c r="Q463" s="763">
        <v>1</v>
      </c>
      <c r="R463" s="754"/>
    </row>
    <row r="464" spans="16:18" ht="15.75" thickBot="1">
      <c r="P464" s="760" t="s">
        <v>1294</v>
      </c>
      <c r="Q464" s="761">
        <v>1</v>
      </c>
      <c r="R464" s="754"/>
    </row>
    <row r="465" spans="16:19" ht="15.75" thickBot="1">
      <c r="P465" s="546" t="s">
        <v>3217</v>
      </c>
      <c r="Q465" s="546">
        <f>SUM(Q451:Q464)</f>
        <v>14</v>
      </c>
      <c r="R465" s="754"/>
    </row>
    <row r="466" spans="16:19" ht="15">
      <c r="P466" s="754"/>
      <c r="Q466" s="754"/>
      <c r="R466" s="754"/>
    </row>
    <row r="467" spans="16:19" ht="15">
      <c r="P467" s="754"/>
      <c r="Q467" s="754"/>
      <c r="R467" s="754"/>
    </row>
    <row r="468" spans="16:19" ht="15">
      <c r="P468" s="735"/>
      <c r="Q468" s="754"/>
      <c r="R468" s="754"/>
      <c r="S468" s="754"/>
    </row>
    <row r="469" spans="16:19" ht="15">
      <c r="P469" s="547" t="s">
        <v>1295</v>
      </c>
      <c r="Q469" s="548">
        <f>+R383+S383+Q429+R429+Q465</f>
        <v>365</v>
      </c>
      <c r="R469" s="754"/>
      <c r="S469" s="754"/>
    </row>
    <row r="470" spans="16:19" ht="15">
      <c r="P470" s="547" t="s">
        <v>1296</v>
      </c>
      <c r="Q470" s="548">
        <f>+R383+S383+R411+S411+Q429+R429+R445+S445+Q465</f>
        <v>387</v>
      </c>
      <c r="R470" s="754"/>
      <c r="S470" s="754"/>
    </row>
    <row r="471" spans="16:19" ht="15">
      <c r="P471" s="547" t="s">
        <v>246</v>
      </c>
      <c r="Q471" s="548">
        <f>+Q383+S383+Q411+S411+R429+Q445+S445</f>
        <v>384</v>
      </c>
      <c r="R471" s="754"/>
      <c r="S471" s="754"/>
    </row>
    <row r="472" spans="16:19" ht="15">
      <c r="P472" s="547" t="s">
        <v>1297</v>
      </c>
      <c r="Q472" s="548">
        <f>+Q383+R383+S383+Q411+R411+S411+Q429+R429+Q445+R445+S445+Q465</f>
        <v>430</v>
      </c>
      <c r="R472" s="754"/>
      <c r="S472" s="754"/>
    </row>
  </sheetData>
  <mergeCells count="100">
    <mergeCell ref="P432:S432"/>
    <mergeCell ref="P448:Q448"/>
    <mergeCell ref="P10:S10"/>
    <mergeCell ref="P385:R385"/>
    <mergeCell ref="P413:R413"/>
    <mergeCell ref="P8:S8"/>
    <mergeCell ref="K14:N14"/>
    <mergeCell ref="A17:H17"/>
    <mergeCell ref="F18:F19"/>
    <mergeCell ref="G18:G19"/>
    <mergeCell ref="H18:H19"/>
    <mergeCell ref="G11:G12"/>
    <mergeCell ref="H11:H12"/>
    <mergeCell ref="E13:E16"/>
    <mergeCell ref="F13:F16"/>
    <mergeCell ref="G13:G16"/>
    <mergeCell ref="H13:H16"/>
    <mergeCell ref="E11:E12"/>
    <mergeCell ref="A11:A16"/>
    <mergeCell ref="B11:B16"/>
    <mergeCell ref="C11:C16"/>
    <mergeCell ref="A25:A30"/>
    <mergeCell ref="B25:B30"/>
    <mergeCell ref="C25:C30"/>
    <mergeCell ref="D25:D30"/>
    <mergeCell ref="E25:E26"/>
    <mergeCell ref="G25:G26"/>
    <mergeCell ref="H25:H26"/>
    <mergeCell ref="E27:E30"/>
    <mergeCell ref="F27:F30"/>
    <mergeCell ref="G27:G30"/>
    <mergeCell ref="H27:H30"/>
    <mergeCell ref="F25:F26"/>
    <mergeCell ref="G20:G23"/>
    <mergeCell ref="H20:H23"/>
    <mergeCell ref="B18:B23"/>
    <mergeCell ref="C18:C23"/>
    <mergeCell ref="D18:D23"/>
    <mergeCell ref="E18:E19"/>
    <mergeCell ref="A3:H3"/>
    <mergeCell ref="A4:H4"/>
    <mergeCell ref="A5:H5"/>
    <mergeCell ref="A10:H10"/>
    <mergeCell ref="A6:H6"/>
    <mergeCell ref="D11:D16"/>
    <mergeCell ref="F11:F12"/>
    <mergeCell ref="E8:F8"/>
    <mergeCell ref="A56:A57"/>
    <mergeCell ref="B56:B57"/>
    <mergeCell ref="C56:C57"/>
    <mergeCell ref="D56:D57"/>
    <mergeCell ref="A24:H24"/>
    <mergeCell ref="G48:G51"/>
    <mergeCell ref="H48:H51"/>
    <mergeCell ref="A38:H38"/>
    <mergeCell ref="A39:A44"/>
    <mergeCell ref="B39:B44"/>
    <mergeCell ref="C39:C44"/>
    <mergeCell ref="D39:D44"/>
    <mergeCell ref="E39:E40"/>
    <mergeCell ref="F39:F40"/>
    <mergeCell ref="G39:G40"/>
    <mergeCell ref="H39:H40"/>
    <mergeCell ref="E41:E44"/>
    <mergeCell ref="F41:F44"/>
    <mergeCell ref="G41:G44"/>
    <mergeCell ref="H41:H44"/>
    <mergeCell ref="A45:H45"/>
    <mergeCell ref="A46:A51"/>
    <mergeCell ref="B46:B51"/>
    <mergeCell ref="C46:C51"/>
    <mergeCell ref="E48:E51"/>
    <mergeCell ref="F48:F51"/>
    <mergeCell ref="A55:H55"/>
    <mergeCell ref="D46:D51"/>
    <mergeCell ref="E46:E47"/>
    <mergeCell ref="F46:F47"/>
    <mergeCell ref="G46:G47"/>
    <mergeCell ref="H46:H47"/>
    <mergeCell ref="A52:H52"/>
    <mergeCell ref="A53:A54"/>
    <mergeCell ref="B53:B54"/>
    <mergeCell ref="C53:C54"/>
    <mergeCell ref="D53:D54"/>
    <mergeCell ref="A18:A23"/>
    <mergeCell ref="E20:E23"/>
    <mergeCell ref="A31:H31"/>
    <mergeCell ref="A32:A37"/>
    <mergeCell ref="B32:B37"/>
    <mergeCell ref="C32:C37"/>
    <mergeCell ref="D32:D37"/>
    <mergeCell ref="E32:E33"/>
    <mergeCell ref="F32:F33"/>
    <mergeCell ref="G32:G33"/>
    <mergeCell ref="H32:H33"/>
    <mergeCell ref="E34:E37"/>
    <mergeCell ref="F34:F37"/>
    <mergeCell ref="G34:G37"/>
    <mergeCell ref="H34:H37"/>
    <mergeCell ref="F20:F23"/>
  </mergeCells>
  <pageMargins left="0.70866141732283472" right="0.70866141732283472" top="0.59055118110236227" bottom="0.98425196850393704" header="0.31496062992125984" footer="0.31496062992125984"/>
  <pageSetup scale="71" fitToHeight="2" orientation="landscape" r:id="rId1"/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I85"/>
  <sheetViews>
    <sheetView zoomScale="75" zoomScaleNormal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8" sqref="A8:G8"/>
    </sheetView>
  </sheetViews>
  <sheetFormatPr baseColWidth="10" defaultRowHeight="14.25"/>
  <cols>
    <col min="1" max="1" width="43.85546875" style="690" customWidth="1"/>
    <col min="2" max="2" width="3.7109375" style="690" customWidth="1"/>
    <col min="3" max="3" width="25" style="696" customWidth="1"/>
    <col min="4" max="4" width="2.7109375" style="690" customWidth="1"/>
    <col min="5" max="5" width="25" style="696" customWidth="1"/>
    <col min="6" max="6" width="16.5703125" style="690" customWidth="1"/>
    <col min="7" max="7" width="20.5703125" style="690" bestFit="1" customWidth="1"/>
    <col min="8" max="16384" width="11.42578125" style="690"/>
  </cols>
  <sheetData>
    <row r="1" spans="1:7" s="686" customFormat="1" ht="18">
      <c r="A1" s="2033" t="s">
        <v>2902</v>
      </c>
      <c r="B1" s="2033"/>
      <c r="C1" s="2033"/>
      <c r="D1" s="2033"/>
      <c r="E1" s="2033"/>
      <c r="F1" s="2033"/>
      <c r="G1" s="2033"/>
    </row>
    <row r="2" spans="1:7" s="686" customFormat="1" ht="18">
      <c r="A2" s="2033" t="s">
        <v>2903</v>
      </c>
      <c r="B2" s="2033"/>
      <c r="C2" s="2033"/>
      <c r="D2" s="2033"/>
      <c r="E2" s="2033"/>
      <c r="F2" s="2033"/>
      <c r="G2" s="2033"/>
    </row>
    <row r="3" spans="1:7" s="686" customFormat="1" ht="15" customHeight="1">
      <c r="A3" s="2033"/>
      <c r="B3" s="2033"/>
      <c r="C3" s="2033"/>
      <c r="D3" s="2033"/>
      <c r="E3" s="2033"/>
      <c r="F3" s="2033"/>
      <c r="G3" s="2033"/>
    </row>
    <row r="4" spans="1:7" s="686" customFormat="1" ht="18">
      <c r="A4" s="2033" t="s">
        <v>2987</v>
      </c>
      <c r="B4" s="2033"/>
      <c r="C4" s="2033"/>
      <c r="D4" s="2033"/>
      <c r="E4" s="2033"/>
      <c r="F4" s="2033"/>
      <c r="G4" s="2033"/>
    </row>
    <row r="5" spans="1:7" s="686" customFormat="1" ht="10.5" customHeight="1">
      <c r="A5" s="2033"/>
      <c r="B5" s="2033"/>
      <c r="C5" s="2033"/>
      <c r="D5" s="2033"/>
      <c r="E5" s="2033"/>
      <c r="F5" s="2033"/>
      <c r="G5" s="2033"/>
    </row>
    <row r="6" spans="1:7" ht="15">
      <c r="A6" s="687"/>
      <c r="B6" s="688"/>
      <c r="C6" s="689"/>
      <c r="D6" s="688"/>
      <c r="E6" s="689"/>
      <c r="F6" s="688"/>
      <c r="G6" s="688"/>
    </row>
    <row r="7" spans="1:7" ht="18">
      <c r="A7" s="2034" t="s">
        <v>2904</v>
      </c>
      <c r="B7" s="2034"/>
      <c r="C7" s="2034"/>
      <c r="D7" s="2034"/>
      <c r="E7" s="2034"/>
      <c r="F7" s="2034"/>
      <c r="G7" s="2034"/>
    </row>
    <row r="8" spans="1:7" ht="18">
      <c r="A8" s="2032" t="s">
        <v>7078</v>
      </c>
      <c r="B8" s="2032"/>
      <c r="C8" s="2032"/>
      <c r="D8" s="2032"/>
      <c r="E8" s="2032"/>
      <c r="F8" s="2032"/>
      <c r="G8" s="2032"/>
    </row>
    <row r="10" spans="1:7" ht="15">
      <c r="A10" s="691"/>
      <c r="C10" s="692" t="s">
        <v>2905</v>
      </c>
      <c r="D10" s="693"/>
      <c r="E10" s="692" t="s">
        <v>2906</v>
      </c>
      <c r="F10" s="693" t="s">
        <v>2907</v>
      </c>
      <c r="G10" s="693" t="s">
        <v>2908</v>
      </c>
    </row>
    <row r="11" spans="1:7" ht="31.5" customHeight="1">
      <c r="A11" s="694" t="s">
        <v>81</v>
      </c>
      <c r="B11" s="695"/>
      <c r="C11" s="695"/>
      <c r="D11" s="695"/>
      <c r="E11" s="695"/>
      <c r="F11" s="695"/>
      <c r="G11" s="695"/>
    </row>
    <row r="12" spans="1:7">
      <c r="D12" s="697"/>
      <c r="F12" s="697"/>
      <c r="G12" s="697"/>
    </row>
    <row r="13" spans="1:7" ht="16.5" customHeight="1">
      <c r="A13" s="698" t="s">
        <v>68</v>
      </c>
      <c r="D13" s="697"/>
      <c r="F13" s="697"/>
      <c r="G13" s="697"/>
    </row>
    <row r="14" spans="1:7" s="700" customFormat="1" ht="16.5" customHeight="1">
      <c r="A14" s="699" t="s">
        <v>2909</v>
      </c>
      <c r="C14" s="701">
        <v>11000</v>
      </c>
      <c r="D14" s="702"/>
      <c r="E14" s="701">
        <f>+BALANCE!B12</f>
        <v>11000</v>
      </c>
      <c r="F14" s="702"/>
      <c r="G14" s="702"/>
    </row>
    <row r="15" spans="1:7" s="700" customFormat="1" ht="16.5" customHeight="1">
      <c r="A15" s="699" t="s">
        <v>83</v>
      </c>
      <c r="C15" s="701">
        <v>27566078.359999999</v>
      </c>
      <c r="D15" s="702"/>
      <c r="E15" s="701">
        <f>+BALANCE!B13</f>
        <v>117340822.77</v>
      </c>
      <c r="F15" s="702"/>
      <c r="G15" s="702"/>
    </row>
    <row r="16" spans="1:7" s="700" customFormat="1" ht="16.5" customHeight="1">
      <c r="A16" s="699" t="s">
        <v>2910</v>
      </c>
      <c r="C16" s="701">
        <v>164855843.05000001</v>
      </c>
      <c r="D16" s="702"/>
      <c r="E16" s="701">
        <f>+BALANCE!B14</f>
        <v>86911032.689999998</v>
      </c>
      <c r="F16" s="702"/>
      <c r="G16" s="702"/>
    </row>
    <row r="17" spans="1:7" ht="16.5" customHeight="1">
      <c r="A17" s="690" t="s">
        <v>2911</v>
      </c>
      <c r="D17" s="697"/>
      <c r="F17" s="697" t="str">
        <f>IF(C17&gt;E17,C17-E17,"")</f>
        <v/>
      </c>
      <c r="G17" s="697" t="str">
        <f>IF(E17&gt;C17,E17-C17,"")</f>
        <v/>
      </c>
    </row>
    <row r="18" spans="1:7" ht="16.5" customHeight="1">
      <c r="A18" s="699" t="s">
        <v>2912</v>
      </c>
      <c r="C18" s="696">
        <v>7045274.3300000001</v>
      </c>
      <c r="D18" s="697"/>
      <c r="E18" s="696">
        <f>+BALANCE!B16+BALANCE!B18</f>
        <v>26379.15</v>
      </c>
      <c r="F18" s="697">
        <f t="shared" ref="F18:F23" si="0">IF(C18&gt;E18,C18-E18,"")</f>
        <v>7018895.1799999997</v>
      </c>
      <c r="G18" s="697" t="str">
        <f>IF(E18&gt;C18,E18-C18,"")</f>
        <v/>
      </c>
    </row>
    <row r="19" spans="1:7" ht="16.5" customHeight="1">
      <c r="A19" s="699" t="s">
        <v>2913</v>
      </c>
      <c r="C19" s="696">
        <v>15440775.220000001</v>
      </c>
      <c r="D19" s="697"/>
      <c r="E19" s="696">
        <f>+BALANCE!B15</f>
        <v>8309472.2800000003</v>
      </c>
      <c r="F19" s="697">
        <f t="shared" si="0"/>
        <v>7131302.9400000004</v>
      </c>
      <c r="G19" s="697" t="str">
        <f t="shared" ref="G19:G23" si="1">IF(E19&gt;C19,E19-C19,"")</f>
        <v/>
      </c>
    </row>
    <row r="20" spans="1:7" ht="16.5" customHeight="1">
      <c r="A20" s="699" t="s">
        <v>2914</v>
      </c>
      <c r="C20" s="696">
        <v>292951.38</v>
      </c>
      <c r="D20" s="697"/>
      <c r="E20" s="696">
        <f>+BALANCE!B19+BALANCE!B20+BALANCE!B21</f>
        <v>312349.13</v>
      </c>
      <c r="F20" s="697" t="str">
        <f t="shared" si="0"/>
        <v/>
      </c>
      <c r="G20" s="697">
        <f t="shared" si="1"/>
        <v>19397.75</v>
      </c>
    </row>
    <row r="21" spans="1:7" ht="16.5" customHeight="1">
      <c r="A21" s="699" t="s">
        <v>2915</v>
      </c>
      <c r="C21" s="696">
        <v>7518457.3099999996</v>
      </c>
      <c r="D21" s="697"/>
      <c r="E21" s="696">
        <f>+BALANCE!B17</f>
        <v>4199899.38</v>
      </c>
      <c r="F21" s="697">
        <f t="shared" si="0"/>
        <v>3318557.9299999997</v>
      </c>
      <c r="G21" s="697" t="str">
        <f t="shared" si="1"/>
        <v/>
      </c>
    </row>
    <row r="22" spans="1:7" ht="16.5" customHeight="1">
      <c r="A22" s="699" t="s">
        <v>2916</v>
      </c>
      <c r="C22" s="696">
        <v>0</v>
      </c>
      <c r="D22" s="697"/>
      <c r="E22" s="696">
        <v>0</v>
      </c>
      <c r="F22" s="697" t="str">
        <f t="shared" si="0"/>
        <v/>
      </c>
      <c r="G22" s="697" t="str">
        <f t="shared" si="1"/>
        <v/>
      </c>
    </row>
    <row r="23" spans="1:7" ht="16.5" customHeight="1">
      <c r="A23" s="699" t="s">
        <v>191</v>
      </c>
      <c r="C23" s="696">
        <v>163103.14000000001</v>
      </c>
      <c r="D23" s="697"/>
      <c r="E23" s="696">
        <f>+BALANCE!B22</f>
        <v>168821.74</v>
      </c>
      <c r="F23" s="697" t="str">
        <f t="shared" si="0"/>
        <v/>
      </c>
      <c r="G23" s="697">
        <f t="shared" si="1"/>
        <v>5718.5999999999767</v>
      </c>
    </row>
    <row r="24" spans="1:7" ht="16.5" customHeight="1">
      <c r="A24" s="699"/>
      <c r="C24" s="703"/>
      <c r="D24" s="697"/>
      <c r="E24" s="703"/>
      <c r="F24" s="697"/>
      <c r="G24" s="697"/>
    </row>
    <row r="25" spans="1:7" ht="16.5" customHeight="1">
      <c r="A25" s="693" t="s">
        <v>66</v>
      </c>
      <c r="B25" s="698"/>
      <c r="C25" s="704">
        <f>SUM(C14:C23)</f>
        <v>222893482.79000002</v>
      </c>
      <c r="D25" s="705"/>
      <c r="E25" s="704">
        <f>SUM(E14:E23)</f>
        <v>217279777.13999999</v>
      </c>
      <c r="F25" s="697"/>
      <c r="G25" s="697"/>
    </row>
    <row r="26" spans="1:7" ht="16.5" customHeight="1">
      <c r="D26" s="697"/>
      <c r="F26" s="697"/>
      <c r="G26" s="697"/>
    </row>
    <row r="27" spans="1:7" ht="16.5" customHeight="1">
      <c r="A27" s="698" t="s">
        <v>2917</v>
      </c>
      <c r="D27" s="697"/>
      <c r="F27" s="697"/>
      <c r="G27" s="697"/>
    </row>
    <row r="28" spans="1:7" ht="16.5" customHeight="1">
      <c r="A28" s="690" t="s">
        <v>2918</v>
      </c>
      <c r="C28" s="696">
        <v>1758830</v>
      </c>
      <c r="D28" s="697"/>
      <c r="E28" s="696">
        <f>+BALANCE!B28</f>
        <v>1758830</v>
      </c>
      <c r="F28" s="697" t="str">
        <f t="shared" ref="F28:F34" si="2">IF(C28&gt;E28,C28-E28,"")</f>
        <v/>
      </c>
      <c r="G28" s="697" t="str">
        <f t="shared" ref="G28:G34" si="3">IF(E28&gt;C28,E28-C28,"")</f>
        <v/>
      </c>
    </row>
    <row r="29" spans="1:7" ht="16.5" customHeight="1">
      <c r="A29" s="690" t="s">
        <v>2919</v>
      </c>
      <c r="C29" s="696">
        <v>0</v>
      </c>
      <c r="D29" s="697"/>
      <c r="E29" s="696">
        <f>+BALANCE!B29</f>
        <v>0</v>
      </c>
      <c r="F29" s="697" t="str">
        <f t="shared" si="2"/>
        <v/>
      </c>
      <c r="G29" s="697" t="str">
        <f t="shared" si="3"/>
        <v/>
      </c>
    </row>
    <row r="30" spans="1:7" ht="16.5" customHeight="1">
      <c r="A30" s="690" t="s">
        <v>2920</v>
      </c>
      <c r="C30" s="696">
        <v>947679244.29999995</v>
      </c>
      <c r="D30" s="697"/>
      <c r="E30" s="696">
        <f>+BALANCE!B30+BALANCE!B31+BALANCE!B32</f>
        <v>1006003271.84</v>
      </c>
      <c r="F30" s="697" t="str">
        <f t="shared" si="2"/>
        <v/>
      </c>
      <c r="G30" s="697">
        <f t="shared" si="3"/>
        <v>58324027.540000081</v>
      </c>
    </row>
    <row r="31" spans="1:7" ht="16.5" customHeight="1">
      <c r="A31" s="690" t="s">
        <v>1013</v>
      </c>
      <c r="C31" s="696">
        <v>12279237.109999999</v>
      </c>
      <c r="D31" s="697"/>
      <c r="E31" s="696">
        <f>+BALANCE!B33+BALANCE!B34+BALANCE!B35</f>
        <v>12366082.059999999</v>
      </c>
      <c r="F31" s="697" t="str">
        <f t="shared" si="2"/>
        <v/>
      </c>
      <c r="G31" s="697">
        <f t="shared" si="3"/>
        <v>86844.949999999255</v>
      </c>
    </row>
    <row r="32" spans="1:7" ht="16.5" customHeight="1">
      <c r="A32" s="699" t="s">
        <v>198</v>
      </c>
      <c r="C32" s="696">
        <v>8744971.7599999998</v>
      </c>
      <c r="D32" s="697"/>
      <c r="E32" s="696">
        <f>+BALANCE!B36</f>
        <v>9131355.4499999993</v>
      </c>
      <c r="F32" s="697" t="str">
        <f t="shared" si="2"/>
        <v/>
      </c>
      <c r="G32" s="697">
        <f t="shared" si="3"/>
        <v>386383.68999999948</v>
      </c>
    </row>
    <row r="33" spans="1:9" ht="16.5" customHeight="1">
      <c r="A33" s="699" t="s">
        <v>2921</v>
      </c>
      <c r="C33" s="696">
        <v>-35607398.879999995</v>
      </c>
      <c r="D33" s="697"/>
      <c r="E33" s="696">
        <f>+BALANCE!B37+BALANCE!B38</f>
        <v>-40762395.579999998</v>
      </c>
      <c r="F33" s="697">
        <f t="shared" si="2"/>
        <v>5154996.700000003</v>
      </c>
      <c r="G33" s="697" t="str">
        <f t="shared" si="3"/>
        <v/>
      </c>
    </row>
    <row r="34" spans="1:9" ht="16.5" customHeight="1">
      <c r="A34" s="690" t="s">
        <v>2922</v>
      </c>
      <c r="D34" s="697"/>
      <c r="F34" s="697" t="str">
        <f t="shared" si="2"/>
        <v/>
      </c>
      <c r="G34" s="697" t="str">
        <f t="shared" si="3"/>
        <v/>
      </c>
    </row>
    <row r="35" spans="1:9" ht="16.5" customHeight="1">
      <c r="A35" s="690" t="s">
        <v>2923</v>
      </c>
      <c r="C35" s="703"/>
      <c r="D35" s="697"/>
      <c r="F35" s="697"/>
      <c r="G35" s="697"/>
    </row>
    <row r="36" spans="1:9" ht="16.5" customHeight="1">
      <c r="A36" s="693" t="s">
        <v>2924</v>
      </c>
      <c r="C36" s="704">
        <f>SUM(C28:C35)</f>
        <v>934854884.28999996</v>
      </c>
      <c r="D36" s="697"/>
      <c r="E36" s="706">
        <f>SUM(E28:E35)</f>
        <v>988497143.76999998</v>
      </c>
      <c r="F36" s="697"/>
      <c r="G36" s="697"/>
    </row>
    <row r="37" spans="1:9" ht="16.5" customHeight="1">
      <c r="D37" s="697"/>
      <c r="E37" s="707"/>
      <c r="F37" s="697"/>
      <c r="G37" s="697"/>
    </row>
    <row r="38" spans="1:9" ht="16.5" customHeight="1">
      <c r="A38" s="698" t="s">
        <v>2925</v>
      </c>
      <c r="D38" s="697"/>
      <c r="F38" s="697"/>
      <c r="G38" s="697"/>
    </row>
    <row r="39" spans="1:9" ht="16.5" customHeight="1">
      <c r="A39" s="690" t="s">
        <v>2926</v>
      </c>
      <c r="D39" s="697"/>
      <c r="F39" s="697"/>
      <c r="G39" s="697" t="str">
        <f t="shared" ref="G39:G41" si="4">IF(E39&gt;C39,E39-C39,"")</f>
        <v/>
      </c>
    </row>
    <row r="40" spans="1:9" ht="16.5" customHeight="1">
      <c r="A40" s="690" t="s">
        <v>2927</v>
      </c>
      <c r="C40" s="703"/>
      <c r="D40" s="697"/>
      <c r="E40" s="703"/>
      <c r="F40" s="697"/>
      <c r="G40" s="697" t="str">
        <f t="shared" si="4"/>
        <v/>
      </c>
    </row>
    <row r="41" spans="1:9" ht="16.5" customHeight="1">
      <c r="A41" s="693" t="s">
        <v>2928</v>
      </c>
      <c r="C41" s="704">
        <f>SUM(C39:C40)</f>
        <v>0</v>
      </c>
      <c r="D41" s="697"/>
      <c r="E41" s="704">
        <f>SUM(E39:E40)</f>
        <v>0</v>
      </c>
      <c r="F41" s="697" t="str">
        <f t="shared" ref="F41:F71" si="5">IF(C41&gt;E41,C41-E41,"")</f>
        <v/>
      </c>
      <c r="G41" s="697" t="str">
        <f t="shared" si="4"/>
        <v/>
      </c>
    </row>
    <row r="42" spans="1:9" ht="16.5" customHeight="1">
      <c r="D42" s="705"/>
      <c r="F42" s="697"/>
      <c r="G42" s="697"/>
    </row>
    <row r="43" spans="1:9" ht="16.5" customHeight="1" thickBot="1">
      <c r="A43" s="708" t="s">
        <v>2929</v>
      </c>
      <c r="C43" s="709">
        <f>+C25+C36+C41</f>
        <v>1157748367.0799999</v>
      </c>
      <c r="D43" s="707"/>
      <c r="E43" s="709">
        <f>+E25+E36+E41</f>
        <v>1205776920.9099998</v>
      </c>
      <c r="F43" s="697"/>
      <c r="G43" s="697"/>
      <c r="H43" s="707"/>
      <c r="I43" s="707"/>
    </row>
    <row r="44" spans="1:9" ht="16.5" customHeight="1" thickTop="1">
      <c r="D44" s="697"/>
      <c r="F44" s="697"/>
      <c r="G44" s="697"/>
    </row>
    <row r="45" spans="1:9" ht="16.5" customHeight="1">
      <c r="A45" s="694" t="s">
        <v>82</v>
      </c>
      <c r="D45" s="697"/>
      <c r="F45" s="697"/>
      <c r="G45" s="697"/>
    </row>
    <row r="46" spans="1:9" ht="16.5" customHeight="1">
      <c r="D46" s="697"/>
      <c r="F46" s="697"/>
      <c r="G46" s="697"/>
    </row>
    <row r="47" spans="1:9" ht="16.5" customHeight="1">
      <c r="A47" s="698" t="s">
        <v>68</v>
      </c>
      <c r="D47" s="705"/>
      <c r="F47" s="697"/>
      <c r="G47" s="697"/>
    </row>
    <row r="48" spans="1:9" ht="16.5" customHeight="1">
      <c r="A48" s="699" t="s">
        <v>2930</v>
      </c>
      <c r="D48" s="697"/>
      <c r="F48" s="697"/>
      <c r="G48" s="697"/>
    </row>
    <row r="49" spans="1:9" ht="16.5" customHeight="1">
      <c r="A49" s="699" t="s">
        <v>2931</v>
      </c>
      <c r="B49" s="710"/>
      <c r="C49" s="696">
        <v>814594.64999999991</v>
      </c>
      <c r="D49" s="711"/>
      <c r="E49" s="696">
        <f>+BALANCE!E15+BALANCE!E17</f>
        <v>1023289.51</v>
      </c>
      <c r="F49" s="697">
        <f t="shared" ref="F49:F50" si="6">IF(C49&lt;E49,E49-C49,"")</f>
        <v>208694.8600000001</v>
      </c>
      <c r="G49" s="697" t="str">
        <f t="shared" ref="G49:G50" si="7">IF(E49&lt;C49,C49-E49,"")</f>
        <v/>
      </c>
    </row>
    <row r="50" spans="1:9" ht="16.5" customHeight="1">
      <c r="A50" s="690" t="s">
        <v>2932</v>
      </c>
      <c r="D50" s="697"/>
      <c r="F50" s="697" t="str">
        <f t="shared" si="6"/>
        <v/>
      </c>
      <c r="G50" s="697" t="str">
        <f t="shared" si="7"/>
        <v/>
      </c>
    </row>
    <row r="51" spans="1:9" ht="16.5" customHeight="1">
      <c r="A51" s="690" t="s">
        <v>2933</v>
      </c>
      <c r="C51" s="696">
        <v>2485657.2799999998</v>
      </c>
      <c r="D51" s="697"/>
      <c r="E51" s="696">
        <f>+BALANCE!E14-0.45</f>
        <v>1694816.96</v>
      </c>
      <c r="F51" s="697" t="str">
        <f>IF(C51&lt;E51,E51-C51,"")</f>
        <v/>
      </c>
      <c r="G51" s="697">
        <f>IF(E51&lt;C51,C51-E51,"")</f>
        <v>790840.31999999983</v>
      </c>
    </row>
    <row r="52" spans="1:9" ht="16.5" customHeight="1">
      <c r="A52" s="690" t="s">
        <v>2934</v>
      </c>
      <c r="C52" s="696">
        <v>0</v>
      </c>
      <c r="D52" s="697"/>
      <c r="E52" s="696">
        <f>+BALANCE!E13</f>
        <v>0</v>
      </c>
      <c r="F52" s="697" t="str">
        <f t="shared" ref="F52:F54" si="8">IF(C52&lt;E52,E52-C52,"")</f>
        <v/>
      </c>
      <c r="G52" s="697" t="str">
        <f t="shared" ref="G52:G54" si="9">IF(E52&lt;C52,C52-E52,"")</f>
        <v/>
      </c>
    </row>
    <row r="53" spans="1:9" ht="16.5" customHeight="1">
      <c r="A53" s="690" t="s">
        <v>2935</v>
      </c>
      <c r="C53" s="696">
        <v>0</v>
      </c>
      <c r="D53" s="697"/>
      <c r="E53" s="696">
        <f>+BALANCE!E16</f>
        <v>0</v>
      </c>
      <c r="F53" s="697" t="str">
        <f t="shared" si="8"/>
        <v/>
      </c>
      <c r="G53" s="697" t="str">
        <f t="shared" si="9"/>
        <v/>
      </c>
    </row>
    <row r="54" spans="1:9" ht="16.5" customHeight="1">
      <c r="A54" s="699" t="s">
        <v>2936</v>
      </c>
      <c r="C54" s="703"/>
      <c r="D54" s="697"/>
      <c r="E54" s="703"/>
      <c r="F54" s="697" t="str">
        <f t="shared" si="8"/>
        <v/>
      </c>
      <c r="G54" s="697" t="str">
        <f t="shared" si="9"/>
        <v/>
      </c>
    </row>
    <row r="55" spans="1:9" ht="16.5" customHeight="1">
      <c r="A55" s="712" t="s">
        <v>2937</v>
      </c>
      <c r="C55" s="704">
        <f>SUM(C48:C54)</f>
        <v>3300251.9299999997</v>
      </c>
      <c r="D55" s="697"/>
      <c r="E55" s="704">
        <f>SUM(E48:E54)</f>
        <v>2718106.4699999997</v>
      </c>
      <c r="F55" s="697"/>
      <c r="G55" s="697"/>
    </row>
    <row r="56" spans="1:9" ht="16.5" customHeight="1">
      <c r="A56" s="713"/>
      <c r="C56" s="704"/>
      <c r="D56" s="697"/>
      <c r="E56" s="704"/>
      <c r="F56" s="697"/>
      <c r="G56" s="697"/>
    </row>
    <row r="57" spans="1:9" ht="16.5" customHeight="1">
      <c r="A57" s="693" t="s">
        <v>2938</v>
      </c>
      <c r="C57" s="704"/>
      <c r="D57" s="697"/>
      <c r="E57" s="704"/>
      <c r="F57" s="697"/>
      <c r="G57" s="697"/>
    </row>
    <row r="58" spans="1:9" ht="16.5" customHeight="1">
      <c r="A58" s="714" t="s">
        <v>2971</v>
      </c>
      <c r="C58" s="703"/>
      <c r="D58" s="697"/>
      <c r="E58" s="703"/>
      <c r="F58" s="697"/>
      <c r="G58" s="697"/>
    </row>
    <row r="59" spans="1:9" ht="16.5" customHeight="1">
      <c r="A59" s="693" t="s">
        <v>2939</v>
      </c>
      <c r="C59" s="704">
        <f>C58</f>
        <v>0</v>
      </c>
      <c r="D59" s="697"/>
      <c r="E59" s="704">
        <f>E58</f>
        <v>0</v>
      </c>
      <c r="F59" s="697"/>
      <c r="G59" s="697"/>
    </row>
    <row r="60" spans="1:9" ht="16.5" customHeight="1">
      <c r="A60" s="713"/>
      <c r="B60" s="698"/>
      <c r="C60" s="704"/>
      <c r="D60" s="705"/>
      <c r="E60" s="704"/>
      <c r="F60" s="697"/>
      <c r="G60" s="697"/>
    </row>
    <row r="61" spans="1:9" ht="16.5" customHeight="1" thickBot="1">
      <c r="A61" s="708" t="s">
        <v>2940</v>
      </c>
      <c r="C61" s="709">
        <f>C59+C55</f>
        <v>3300251.9299999997</v>
      </c>
      <c r="D61" s="707"/>
      <c r="E61" s="709">
        <f>E59+E55</f>
        <v>2718106.4699999997</v>
      </c>
      <c r="F61" s="697"/>
      <c r="G61" s="697"/>
      <c r="H61" s="707"/>
      <c r="I61" s="707"/>
    </row>
    <row r="62" spans="1:9" ht="16.5" customHeight="1" thickTop="1">
      <c r="B62" s="698"/>
      <c r="D62" s="705"/>
      <c r="F62" s="697"/>
      <c r="G62" s="697"/>
    </row>
    <row r="63" spans="1:9" ht="16.5" customHeight="1">
      <c r="A63" s="694" t="s">
        <v>2941</v>
      </c>
      <c r="B63" s="698"/>
      <c r="D63" s="705"/>
      <c r="F63" s="697"/>
      <c r="G63" s="697"/>
    </row>
    <row r="64" spans="1:9" ht="16.5" customHeight="1">
      <c r="B64" s="698"/>
      <c r="D64" s="705"/>
      <c r="F64" s="697"/>
      <c r="G64" s="697"/>
    </row>
    <row r="65" spans="1:9" ht="16.5" customHeight="1">
      <c r="A65" s="690" t="s">
        <v>85</v>
      </c>
      <c r="B65" s="698"/>
      <c r="C65" s="696">
        <v>278482909</v>
      </c>
      <c r="D65" s="705"/>
      <c r="E65" s="696">
        <v>278482909</v>
      </c>
      <c r="F65" s="697" t="str">
        <f t="shared" ref="F65:F68" si="10">IF(C65&lt;E65,E65-C65,"")</f>
        <v/>
      </c>
      <c r="G65" s="697" t="str">
        <f t="shared" ref="G65:G68" si="11">IF(E65&lt;C65,C65-E65,"")</f>
        <v/>
      </c>
    </row>
    <row r="66" spans="1:9" ht="16.5" customHeight="1">
      <c r="A66" s="690" t="s">
        <v>2942</v>
      </c>
      <c r="B66" s="698"/>
      <c r="C66" s="696">
        <v>20576226</v>
      </c>
      <c r="D66" s="705"/>
      <c r="E66" s="696">
        <v>20576226</v>
      </c>
      <c r="F66" s="697" t="str">
        <f t="shared" si="10"/>
        <v/>
      </c>
      <c r="G66" s="697" t="str">
        <f t="shared" si="11"/>
        <v/>
      </c>
    </row>
    <row r="67" spans="1:9" ht="16.5" customHeight="1">
      <c r="A67" s="690" t="s">
        <v>2943</v>
      </c>
      <c r="B67" s="698"/>
      <c r="C67" s="696">
        <v>772681577.31000006</v>
      </c>
      <c r="D67" s="715"/>
      <c r="E67" s="696">
        <f>+BALANCE!E37+0.86</f>
        <v>855388980.14999998</v>
      </c>
      <c r="F67" s="697">
        <f t="shared" si="10"/>
        <v>82707402.839999914</v>
      </c>
      <c r="G67" s="697" t="str">
        <f t="shared" si="11"/>
        <v/>
      </c>
    </row>
    <row r="68" spans="1:9" ht="16.5" customHeight="1">
      <c r="A68" s="690" t="s">
        <v>2944</v>
      </c>
      <c r="C68" s="703">
        <v>82707402.840000004</v>
      </c>
      <c r="D68" s="697"/>
      <c r="E68" s="703">
        <f>+BALANCE!E38</f>
        <v>48610699.289999999</v>
      </c>
      <c r="F68" s="697" t="str">
        <f t="shared" si="10"/>
        <v/>
      </c>
      <c r="G68" s="697">
        <f t="shared" si="11"/>
        <v>34096703.550000004</v>
      </c>
    </row>
    <row r="69" spans="1:9" ht="16.5" customHeight="1">
      <c r="D69" s="697"/>
      <c r="F69" s="697" t="str">
        <f t="shared" si="5"/>
        <v/>
      </c>
      <c r="G69" s="697" t="str">
        <f t="shared" ref="G69" si="12">IF(E69&gt;C69,E69-C69,"")</f>
        <v/>
      </c>
    </row>
    <row r="70" spans="1:9" ht="16.5" customHeight="1" thickBot="1">
      <c r="A70" s="708" t="s">
        <v>2945</v>
      </c>
      <c r="C70" s="709">
        <f>SUM(C65:C69)</f>
        <v>1154448115.1500001</v>
      </c>
      <c r="D70" s="707"/>
      <c r="E70" s="709">
        <f>SUM(E65:E69)</f>
        <v>1203058814.4400001</v>
      </c>
      <c r="F70" s="697" t="str">
        <f t="shared" si="5"/>
        <v/>
      </c>
      <c r="G70" s="697"/>
      <c r="H70" s="707"/>
      <c r="I70" s="707"/>
    </row>
    <row r="71" spans="1:9" ht="16.5" customHeight="1" thickTop="1">
      <c r="D71" s="697"/>
      <c r="F71" s="697" t="str">
        <f t="shared" si="5"/>
        <v/>
      </c>
      <c r="G71" s="697" t="str">
        <f t="shared" ref="G71" si="13">IF(E71&gt;C71,E71-C71,"")</f>
        <v/>
      </c>
    </row>
    <row r="72" spans="1:9" ht="16.5" customHeight="1" thickBot="1">
      <c r="A72" s="708" t="s">
        <v>2946</v>
      </c>
      <c r="C72" s="709">
        <f>C61+C70</f>
        <v>1157748367.0800002</v>
      </c>
      <c r="D72" s="707"/>
      <c r="E72" s="709">
        <f>E61+E70</f>
        <v>1205776920.9100001</v>
      </c>
      <c r="F72" s="697"/>
      <c r="G72" s="697"/>
      <c r="H72" s="707"/>
      <c r="I72" s="707"/>
    </row>
    <row r="73" spans="1:9" ht="16.5" customHeight="1" thickTop="1">
      <c r="D73" s="697"/>
      <c r="F73" s="697"/>
      <c r="G73" s="697"/>
    </row>
    <row r="74" spans="1:9" ht="16.5" customHeight="1">
      <c r="A74" s="716" t="s">
        <v>2947</v>
      </c>
      <c r="C74" s="717"/>
      <c r="D74" s="697"/>
      <c r="E74" s="717"/>
      <c r="F74" s="717">
        <f>SUM(F12:F72)</f>
        <v>105539850.44999991</v>
      </c>
      <c r="G74" s="717"/>
    </row>
    <row r="75" spans="1:9" ht="16.5" customHeight="1">
      <c r="A75" s="716" t="s">
        <v>2948</v>
      </c>
      <c r="C75" s="717"/>
      <c r="D75" s="697"/>
      <c r="E75" s="717"/>
      <c r="F75" s="717"/>
      <c r="G75" s="718">
        <f>SUM(G12:G72)</f>
        <v>93709916.40000008</v>
      </c>
    </row>
    <row r="76" spans="1:9" ht="16.5" customHeight="1" thickBot="1">
      <c r="A76" s="719" t="s">
        <v>2949</v>
      </c>
      <c r="B76" s="698"/>
      <c r="C76" s="717"/>
      <c r="D76" s="705"/>
      <c r="E76" s="717"/>
      <c r="F76" s="717"/>
      <c r="G76" s="720">
        <f>+F74-G75</f>
        <v>11829934.049999833</v>
      </c>
    </row>
    <row r="77" spans="1:9" ht="16.5" customHeight="1" thickTop="1">
      <c r="D77" s="697"/>
    </row>
    <row r="78" spans="1:9" ht="16.5" customHeight="1">
      <c r="B78" s="721"/>
      <c r="C78" s="722">
        <f>C43-C72</f>
        <v>0</v>
      </c>
      <c r="D78" s="711"/>
      <c r="E78" s="722">
        <f>E43-E72</f>
        <v>0</v>
      </c>
      <c r="G78" s="696"/>
      <c r="H78" s="697"/>
    </row>
    <row r="79" spans="1:9" ht="15">
      <c r="C79" s="722"/>
      <c r="D79" s="697"/>
      <c r="E79" s="722"/>
    </row>
    <row r="80" spans="1:9">
      <c r="B80" s="716"/>
      <c r="D80" s="723"/>
    </row>
    <row r="81" spans="2:4">
      <c r="B81" s="716"/>
      <c r="D81" s="723"/>
    </row>
    <row r="82" spans="2:4">
      <c r="B82" s="716"/>
      <c r="D82" s="723"/>
    </row>
    <row r="84" spans="2:4" ht="15">
      <c r="D84" s="719"/>
    </row>
    <row r="85" spans="2:4" ht="15">
      <c r="D85" s="719"/>
    </row>
  </sheetData>
  <mergeCells count="7">
    <mergeCell ref="A8:G8"/>
    <mergeCell ref="A1:G1"/>
    <mergeCell ref="A2:G2"/>
    <mergeCell ref="A3:G3"/>
    <mergeCell ref="A4:G4"/>
    <mergeCell ref="A5:G5"/>
    <mergeCell ref="A7:G7"/>
  </mergeCells>
  <printOptions horizontalCentered="1" verticalCentered="1"/>
  <pageMargins left="0" right="0" top="0" bottom="0" header="0.31496062992125984" footer="0.31496062992125984"/>
  <pageSetup scale="50" orientation="portrait" r:id="rId1"/>
  <headerFooter>
    <oddFooter>&amp;L&amp;D&amp;C&amp;F   &amp;A&amp;RJLB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4"/>
  <dimension ref="A1:N18"/>
  <sheetViews>
    <sheetView workbookViewId="0">
      <selection activeCell="I7" sqref="I7"/>
    </sheetView>
  </sheetViews>
  <sheetFormatPr baseColWidth="10" defaultRowHeight="12.75"/>
  <cols>
    <col min="6" max="9" width="17" customWidth="1"/>
    <col min="10" max="13" width="0" hidden="1" customWidth="1"/>
    <col min="14" max="14" width="15.5703125" customWidth="1"/>
  </cols>
  <sheetData>
    <row r="1" spans="1:14" ht="16.5">
      <c r="A1" s="2035"/>
      <c r="B1" s="2035"/>
      <c r="C1" s="2035"/>
      <c r="D1" s="2036" t="s">
        <v>2987</v>
      </c>
      <c r="E1" s="2036"/>
      <c r="F1" s="2036"/>
      <c r="G1" s="2036"/>
      <c r="H1" s="2036"/>
      <c r="I1" s="2036"/>
      <c r="J1" s="2036"/>
      <c r="K1" s="2036"/>
      <c r="L1" s="2036"/>
      <c r="M1" s="668"/>
      <c r="N1" s="668"/>
    </row>
    <row r="2" spans="1:14" ht="15">
      <c r="A2" s="2035"/>
      <c r="B2" s="2035"/>
      <c r="C2" s="2035"/>
      <c r="D2" s="2037" t="s">
        <v>79</v>
      </c>
      <c r="E2" s="2037"/>
      <c r="F2" s="2037"/>
      <c r="G2" s="2037"/>
      <c r="H2" s="2037"/>
      <c r="I2" s="2037"/>
      <c r="J2" s="2037"/>
      <c r="K2" s="668"/>
      <c r="L2" s="668"/>
      <c r="M2" s="668"/>
      <c r="N2" s="668"/>
    </row>
    <row r="3" spans="1:14">
      <c r="A3" s="668"/>
      <c r="B3" s="668"/>
      <c r="C3" s="2038" t="s">
        <v>724</v>
      </c>
      <c r="D3" s="2038"/>
      <c r="E3" s="2038"/>
      <c r="F3" s="2038"/>
      <c r="G3" s="2038"/>
      <c r="H3" s="2038"/>
      <c r="I3" s="2039" t="s">
        <v>1914</v>
      </c>
      <c r="J3" s="2039"/>
      <c r="K3" s="2040" t="s">
        <v>1915</v>
      </c>
      <c r="L3" s="2040"/>
      <c r="M3" s="2040"/>
      <c r="N3" s="2040"/>
    </row>
    <row r="4" spans="1:14">
      <c r="A4" s="668"/>
      <c r="B4" s="670" t="s">
        <v>1916</v>
      </c>
      <c r="C4" s="2041" t="s">
        <v>1917</v>
      </c>
      <c r="D4" s="2041"/>
      <c r="E4" s="2041"/>
      <c r="F4" s="2041"/>
      <c r="G4" s="2041"/>
      <c r="H4" s="2041"/>
      <c r="I4" s="2041"/>
      <c r="J4" s="669" t="s">
        <v>1917</v>
      </c>
      <c r="K4" s="2039" t="s">
        <v>2825</v>
      </c>
      <c r="L4" s="2039"/>
      <c r="M4" s="2039"/>
      <c r="N4" s="668"/>
    </row>
    <row r="5" spans="1:14" ht="36">
      <c r="A5" s="668"/>
      <c r="B5" s="668"/>
      <c r="C5" s="668"/>
      <c r="D5" s="668"/>
      <c r="E5" s="668"/>
      <c r="F5" s="671" t="s">
        <v>2826</v>
      </c>
      <c r="G5" s="672" t="s">
        <v>2827</v>
      </c>
      <c r="H5" s="672" t="s">
        <v>2828</v>
      </c>
      <c r="I5" s="673" t="s">
        <v>2829</v>
      </c>
      <c r="J5" s="668"/>
      <c r="K5" s="2042" t="s">
        <v>2830</v>
      </c>
      <c r="L5" s="2042"/>
      <c r="M5" s="2042"/>
      <c r="N5" s="2042"/>
    </row>
    <row r="6" spans="1:14">
      <c r="A6" s="2043" t="s">
        <v>230</v>
      </c>
      <c r="B6" s="2043"/>
      <c r="C6" s="2043"/>
      <c r="D6" s="2043"/>
      <c r="E6" s="2043"/>
      <c r="F6" s="668"/>
      <c r="G6" s="668"/>
      <c r="H6" s="668"/>
      <c r="I6" s="668"/>
      <c r="J6" s="668"/>
      <c r="K6" s="668"/>
      <c r="L6" s="668"/>
      <c r="M6" s="668"/>
      <c r="N6" s="668"/>
    </row>
    <row r="7" spans="1:14" ht="18.75">
      <c r="A7" s="2044" t="s">
        <v>1018</v>
      </c>
      <c r="B7" s="2044"/>
      <c r="C7" s="2044"/>
      <c r="D7" s="2044"/>
      <c r="E7" s="2044"/>
      <c r="F7" s="1334">
        <v>1157748367.0799999</v>
      </c>
      <c r="G7" s="1334">
        <v>7904150765.1700001</v>
      </c>
      <c r="H7" s="1338">
        <v>7856122211.3400002</v>
      </c>
      <c r="I7" s="674">
        <f>+F7+G7-H7</f>
        <v>1205776920.9099998</v>
      </c>
      <c r="J7" s="675" t="s">
        <v>1917</v>
      </c>
      <c r="K7" s="2045">
        <f>+I7-F7</f>
        <v>48028553.829999924</v>
      </c>
      <c r="L7" s="2045"/>
      <c r="M7" s="2045"/>
      <c r="N7" s="2045"/>
    </row>
    <row r="8" spans="1:14">
      <c r="A8" s="2046" t="s">
        <v>1006</v>
      </c>
      <c r="B8" s="2046"/>
      <c r="C8" s="2046"/>
      <c r="D8" s="2046"/>
      <c r="E8" s="2046"/>
      <c r="F8" s="1335">
        <v>222893482.78999999</v>
      </c>
      <c r="G8" s="1335">
        <v>7709701128.4099998</v>
      </c>
      <c r="H8" s="1339">
        <v>7715314834.0600004</v>
      </c>
      <c r="I8" s="676">
        <f t="shared" ref="I8:I18" si="0">+F8+G8-H8</f>
        <v>217279777.13999939</v>
      </c>
      <c r="J8" s="668"/>
      <c r="K8" s="2047">
        <f t="shared" ref="K8:K18" si="1">+I8-F8</f>
        <v>-5613705.650000602</v>
      </c>
      <c r="L8" s="2047"/>
      <c r="M8" s="2047"/>
      <c r="N8" s="2047"/>
    </row>
    <row r="9" spans="1:14">
      <c r="A9" s="2048" t="s">
        <v>1005</v>
      </c>
      <c r="B9" s="2048"/>
      <c r="C9" s="2048"/>
      <c r="D9" s="2048"/>
      <c r="E9" s="2048"/>
      <c r="F9" s="1336">
        <v>192432921.41</v>
      </c>
      <c r="G9" s="1336">
        <v>7454354523.96</v>
      </c>
      <c r="H9" s="1340">
        <v>7442524589.9099998</v>
      </c>
      <c r="I9" s="677">
        <f t="shared" si="0"/>
        <v>204262855.46000004</v>
      </c>
      <c r="J9" s="678" t="s">
        <v>1917</v>
      </c>
      <c r="K9" s="2049">
        <f t="shared" si="1"/>
        <v>11829934.050000042</v>
      </c>
      <c r="L9" s="2049"/>
      <c r="M9" s="2049"/>
      <c r="N9" s="2049"/>
    </row>
    <row r="10" spans="1:14">
      <c r="A10" s="2048" t="s">
        <v>1007</v>
      </c>
      <c r="B10" s="2048"/>
      <c r="C10" s="2048"/>
      <c r="D10" s="2048"/>
      <c r="E10" s="2048"/>
      <c r="F10" s="1336">
        <v>30004506.859999999</v>
      </c>
      <c r="G10" s="1336">
        <v>252417846.84999999</v>
      </c>
      <c r="H10" s="1340">
        <v>269886602.89999998</v>
      </c>
      <c r="I10" s="677">
        <f t="shared" si="0"/>
        <v>12535750.810000002</v>
      </c>
      <c r="J10" s="678" t="s">
        <v>1917</v>
      </c>
      <c r="K10" s="2049">
        <f t="shared" si="1"/>
        <v>-17468756.049999997</v>
      </c>
      <c r="L10" s="2049"/>
      <c r="M10" s="2049"/>
      <c r="N10" s="2049"/>
    </row>
    <row r="11" spans="1:14">
      <c r="A11" s="2048" t="s">
        <v>1008</v>
      </c>
      <c r="B11" s="2048"/>
      <c r="C11" s="2048"/>
      <c r="D11" s="2048"/>
      <c r="E11" s="2048"/>
      <c r="F11" s="1336">
        <v>292951.38</v>
      </c>
      <c r="G11" s="1336">
        <v>2917216</v>
      </c>
      <c r="H11" s="1340">
        <v>2897818.25</v>
      </c>
      <c r="I11" s="677">
        <f t="shared" si="0"/>
        <v>312349.12999999989</v>
      </c>
      <c r="J11" s="678" t="s">
        <v>1917</v>
      </c>
      <c r="K11" s="2050">
        <f t="shared" si="1"/>
        <v>19397.749999999884</v>
      </c>
      <c r="L11" s="2050"/>
      <c r="M11" s="2050"/>
      <c r="N11" s="2050"/>
    </row>
    <row r="12" spans="1:14">
      <c r="A12" s="2048" t="s">
        <v>1009</v>
      </c>
      <c r="B12" s="2048"/>
      <c r="C12" s="2048"/>
      <c r="D12" s="2048"/>
      <c r="E12" s="2048"/>
      <c r="F12" s="1336">
        <v>163103.14000000001</v>
      </c>
      <c r="G12" s="1336">
        <v>11541.6</v>
      </c>
      <c r="H12" s="1340">
        <v>5823</v>
      </c>
      <c r="I12" s="677">
        <f t="shared" si="0"/>
        <v>168821.74000000002</v>
      </c>
      <c r="J12" s="678" t="s">
        <v>1917</v>
      </c>
      <c r="K12" s="2049">
        <f t="shared" si="1"/>
        <v>5718.6000000000058</v>
      </c>
      <c r="L12" s="2049"/>
      <c r="M12" s="2049"/>
      <c r="N12" s="2049"/>
    </row>
    <row r="13" spans="1:14">
      <c r="A13" s="2046" t="s">
        <v>1010</v>
      </c>
      <c r="B13" s="2046"/>
      <c r="C13" s="2046"/>
      <c r="D13" s="2046"/>
      <c r="E13" s="2046"/>
      <c r="F13" s="1335">
        <v>934854884.28999996</v>
      </c>
      <c r="G13" s="1335">
        <v>194449636.75999999</v>
      </c>
      <c r="H13" s="1339">
        <v>140807377.28</v>
      </c>
      <c r="I13" s="676">
        <f t="shared" si="0"/>
        <v>988497143.76999998</v>
      </c>
      <c r="J13" s="668"/>
      <c r="K13" s="2051">
        <f t="shared" si="1"/>
        <v>53642259.480000019</v>
      </c>
      <c r="L13" s="2051"/>
      <c r="M13" s="2051"/>
      <c r="N13" s="2051"/>
    </row>
    <row r="14" spans="1:14">
      <c r="A14" s="2048" t="s">
        <v>1011</v>
      </c>
      <c r="B14" s="2048"/>
      <c r="C14" s="2048"/>
      <c r="D14" s="2048"/>
      <c r="E14" s="2048"/>
      <c r="F14" s="1336">
        <v>1758830</v>
      </c>
      <c r="G14" s="1336">
        <v>0</v>
      </c>
      <c r="H14" s="1340">
        <v>0</v>
      </c>
      <c r="I14" s="677">
        <f t="shared" si="0"/>
        <v>1758830</v>
      </c>
      <c r="J14" s="678" t="s">
        <v>1917</v>
      </c>
      <c r="K14" s="2049">
        <f t="shared" si="1"/>
        <v>0</v>
      </c>
      <c r="L14" s="2049"/>
      <c r="M14" s="2049"/>
      <c r="N14" s="2049"/>
    </row>
    <row r="15" spans="1:14" ht="12.75" customHeight="1">
      <c r="A15" s="685" t="s">
        <v>1012</v>
      </c>
      <c r="B15" s="685"/>
      <c r="C15" s="685"/>
      <c r="D15" s="685"/>
      <c r="E15" s="685"/>
      <c r="F15" s="1336">
        <v>947679244.29999995</v>
      </c>
      <c r="G15" s="1336">
        <v>192559084.13</v>
      </c>
      <c r="H15" s="1340">
        <v>134235056.59</v>
      </c>
      <c r="I15" s="677">
        <f t="shared" si="0"/>
        <v>1006003271.8399998</v>
      </c>
      <c r="J15" s="678" t="s">
        <v>1917</v>
      </c>
      <c r="K15" s="2049">
        <f t="shared" si="1"/>
        <v>58324027.539999843</v>
      </c>
      <c r="L15" s="2049"/>
      <c r="M15" s="2049"/>
      <c r="N15" s="2049"/>
    </row>
    <row r="16" spans="1:14">
      <c r="A16" s="2048" t="s">
        <v>1013</v>
      </c>
      <c r="B16" s="2048"/>
      <c r="C16" s="2048"/>
      <c r="D16" s="2048"/>
      <c r="E16" s="2048"/>
      <c r="F16" s="1336">
        <v>12279237.109999999</v>
      </c>
      <c r="G16" s="1336">
        <v>1421286.63</v>
      </c>
      <c r="H16" s="1340">
        <v>1334441.68</v>
      </c>
      <c r="I16" s="677">
        <f t="shared" si="0"/>
        <v>12366082.059999999</v>
      </c>
      <c r="J16" s="678" t="s">
        <v>1917</v>
      </c>
      <c r="K16" s="2049">
        <f t="shared" si="1"/>
        <v>86844.949999999255</v>
      </c>
      <c r="L16" s="2049"/>
      <c r="M16" s="2049"/>
      <c r="N16" s="2049"/>
    </row>
    <row r="17" spans="1:14">
      <c r="A17" s="2048" t="s">
        <v>198</v>
      </c>
      <c r="B17" s="2048"/>
      <c r="C17" s="2048"/>
      <c r="D17" s="2048"/>
      <c r="E17" s="2048"/>
      <c r="F17" s="1336">
        <v>8744971.7599999998</v>
      </c>
      <c r="G17" s="1336">
        <v>386383.69</v>
      </c>
      <c r="H17" s="1340">
        <v>0</v>
      </c>
      <c r="I17" s="677">
        <f t="shared" si="0"/>
        <v>9131355.4499999993</v>
      </c>
      <c r="J17" s="678" t="s">
        <v>1917</v>
      </c>
      <c r="K17" s="2049">
        <f t="shared" si="1"/>
        <v>386383.68999999948</v>
      </c>
      <c r="L17" s="2049"/>
      <c r="M17" s="2049"/>
      <c r="N17" s="2049"/>
    </row>
    <row r="18" spans="1:14">
      <c r="A18" s="2048" t="s">
        <v>1014</v>
      </c>
      <c r="B18" s="2048"/>
      <c r="C18" s="2048"/>
      <c r="D18" s="2048"/>
      <c r="E18" s="2048"/>
      <c r="F18" s="1337">
        <v>-35607398.880000003</v>
      </c>
      <c r="G18" s="1336">
        <v>82882.31</v>
      </c>
      <c r="H18" s="1340">
        <v>5237879.01</v>
      </c>
      <c r="I18" s="679">
        <f t="shared" si="0"/>
        <v>-40762395.579999998</v>
      </c>
      <c r="J18" s="678" t="s">
        <v>1917</v>
      </c>
      <c r="K18" s="2050">
        <f t="shared" si="1"/>
        <v>-5154996.6999999955</v>
      </c>
      <c r="L18" s="2050"/>
      <c r="M18" s="2050"/>
      <c r="N18" s="2050"/>
    </row>
  </sheetData>
  <mergeCells count="33">
    <mergeCell ref="A14:E14"/>
    <mergeCell ref="K14:N14"/>
    <mergeCell ref="A18:E18"/>
    <mergeCell ref="K18:N18"/>
    <mergeCell ref="K15:N15"/>
    <mergeCell ref="A16:E16"/>
    <mergeCell ref="K16:N16"/>
    <mergeCell ref="A17:E17"/>
    <mergeCell ref="K17:N17"/>
    <mergeCell ref="A11:E11"/>
    <mergeCell ref="K11:N11"/>
    <mergeCell ref="A12:E12"/>
    <mergeCell ref="K12:N12"/>
    <mergeCell ref="A13:E13"/>
    <mergeCell ref="K13:N13"/>
    <mergeCell ref="A8:E8"/>
    <mergeCell ref="K8:N8"/>
    <mergeCell ref="A9:E9"/>
    <mergeCell ref="K9:N9"/>
    <mergeCell ref="A10:E10"/>
    <mergeCell ref="K10:N10"/>
    <mergeCell ref="C4:I4"/>
    <mergeCell ref="K4:M4"/>
    <mergeCell ref="K5:N5"/>
    <mergeCell ref="A6:E6"/>
    <mergeCell ref="A7:E7"/>
    <mergeCell ref="K7:N7"/>
    <mergeCell ref="A1:C2"/>
    <mergeCell ref="D1:L1"/>
    <mergeCell ref="D2:J2"/>
    <mergeCell ref="C3:H3"/>
    <mergeCell ref="I3:J3"/>
    <mergeCell ref="K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32</vt:i4>
      </vt:variant>
    </vt:vector>
  </HeadingPairs>
  <TitlesOfParts>
    <vt:vector size="91" baseType="lpstr">
      <vt:lpstr>BALANCE</vt:lpstr>
      <vt:lpstr>PPTO RESULTADOS</vt:lpstr>
      <vt:lpstr>RESULTADOS PARQUES</vt:lpstr>
      <vt:lpstr>VARIACIONES EGRESOS</vt:lpstr>
      <vt:lpstr>GRAFICAS</vt:lpstr>
      <vt:lpstr>INGRESOS</vt:lpstr>
      <vt:lpstr>EGRESOS</vt:lpstr>
      <vt:lpstr>CTAS BALANCE</vt:lpstr>
      <vt:lpstr>BALANZA</vt:lpstr>
      <vt:lpstr>PRESUP ORIGINAL</vt:lpstr>
      <vt:lpstr>notas</vt:lpstr>
      <vt:lpstr>EA</vt:lpstr>
      <vt:lpstr>1 ea sif</vt:lpstr>
      <vt:lpstr>ESF</vt:lpstr>
      <vt:lpstr>2 esf sif</vt:lpstr>
      <vt:lpstr>ESF det</vt:lpstr>
      <vt:lpstr>36 esfd sif</vt:lpstr>
      <vt:lpstr>ECSF</vt:lpstr>
      <vt:lpstr>4 ecsf sif</vt:lpstr>
      <vt:lpstr>EAA</vt:lpstr>
      <vt:lpstr>10 eaa sif</vt:lpstr>
      <vt:lpstr>EADP</vt:lpstr>
      <vt:lpstr>11 ead sif</vt:lpstr>
      <vt:lpstr>EVHP</vt:lpstr>
      <vt:lpstr>3 evhp sif</vt:lpstr>
      <vt:lpstr>EFE</vt:lpstr>
      <vt:lpstr>5 efe sif</vt:lpstr>
      <vt:lpstr>EAI</vt:lpstr>
      <vt:lpstr>13 ri sif</vt:lpstr>
      <vt:lpstr>14 ff sif</vt:lpstr>
      <vt:lpstr>15 ce sif</vt:lpstr>
      <vt:lpstr>40 eaid sif</vt:lpstr>
      <vt:lpstr>COG</vt:lpstr>
      <vt:lpstr>20 cog sif</vt:lpstr>
      <vt:lpstr>41 cogd sif</vt:lpstr>
      <vt:lpstr>44 sp sif</vt:lpstr>
      <vt:lpstr>CAdmon</vt:lpstr>
      <vt:lpstr>16 ca sif</vt:lpstr>
      <vt:lpstr>18 casp sif</vt:lpstr>
      <vt:lpstr>42 cad sif</vt:lpstr>
      <vt:lpstr>CTG</vt:lpstr>
      <vt:lpstr>19 tg sif</vt:lpstr>
      <vt:lpstr>CFG</vt:lpstr>
      <vt:lpstr>21 cf sif </vt:lpstr>
      <vt:lpstr>43 cfd sif</vt:lpstr>
      <vt:lpstr>CProg</vt:lpstr>
      <vt:lpstr>25 cprog sif</vt:lpstr>
      <vt:lpstr>End Neto</vt:lpstr>
      <vt:lpstr>22 en sif</vt:lpstr>
      <vt:lpstr>Int</vt:lpstr>
      <vt:lpstr>Post Fiscal</vt:lpstr>
      <vt:lpstr>39 bp sif</vt:lpstr>
      <vt:lpstr>24 ffon sif</vt:lpstr>
      <vt:lpstr>Rel Cta Banc</vt:lpstr>
      <vt:lpstr>CARTERA</vt:lpstr>
      <vt:lpstr>TERRENOS</vt:lpstr>
      <vt:lpstr>INDICADORES</vt:lpstr>
      <vt:lpstr>FLUJO S.H.</vt:lpstr>
      <vt:lpstr>RptEAA</vt:lpstr>
      <vt:lpstr>'1 ea sif'!Área_de_impresión</vt:lpstr>
      <vt:lpstr>'10 eaa sif'!Área_de_impresión</vt:lpstr>
      <vt:lpstr>'11 ead sif'!Área_de_impresión</vt:lpstr>
      <vt:lpstr>'2 esf sif'!Área_de_impresión</vt:lpstr>
      <vt:lpstr>'3 evhp sif'!Área_de_impresión</vt:lpstr>
      <vt:lpstr>'4 ecsf sif'!Área_de_impresión</vt:lpstr>
      <vt:lpstr>'5 efe sif'!Área_de_impresión</vt:lpstr>
      <vt:lpstr>BALANCE!Área_de_impresión</vt:lpstr>
      <vt:lpstr>COG!Área_de_impresión</vt:lpstr>
      <vt:lpstr>'CTAS BALANCE'!Área_de_impresión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EGRESOS!Área_de_impresión</vt:lpstr>
      <vt:lpstr>ESF!Área_de_impresión</vt:lpstr>
      <vt:lpstr>'ESF det'!Área_de_impresión</vt:lpstr>
      <vt:lpstr>EVHP!Área_de_impresión</vt:lpstr>
      <vt:lpstr>'FLUJO S.H.'!Área_de_impresión</vt:lpstr>
      <vt:lpstr>GRAFICAS!Área_de_impresión</vt:lpstr>
      <vt:lpstr>INDICADORES!Área_de_impresión</vt:lpstr>
      <vt:lpstr>INGRESOS!Área_de_impresión</vt:lpstr>
      <vt:lpstr>'PPTO RESULTADOS'!Área_de_impresión</vt:lpstr>
      <vt:lpstr>'PRESUP ORIGINAL'!Área_de_impresión</vt:lpstr>
      <vt:lpstr>'RESULTADOS PARQUES'!Área_de_impresión</vt:lpstr>
      <vt:lpstr>'VARIACIONES EGRESOS'!Área_de_impresión</vt:lpstr>
      <vt:lpstr>'CTAS BALANCE'!Títulos_a_imprimir</vt:lpstr>
      <vt:lpstr>EGRESOS!Títulos_a_imprimir</vt:lpstr>
      <vt:lpstr>'FLUJO S.H.'!Títulos_a_imprimir</vt:lpstr>
      <vt:lpstr>INDICADORES!Títulos_a_imprimir</vt:lpstr>
    </vt:vector>
  </TitlesOfParts>
  <Company>promotora de la industria chihuhuense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promotora de la industria</dc:creator>
  <cp:lastModifiedBy>Javier Marrufo</cp:lastModifiedBy>
  <cp:lastPrinted>2021-12-07T19:59:08Z</cp:lastPrinted>
  <dcterms:created xsi:type="dcterms:W3CDTF">2000-06-23T23:57:12Z</dcterms:created>
  <dcterms:modified xsi:type="dcterms:W3CDTF">2022-01-18T21:04:08Z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1378907497</vt:i4>
  </property>
  <property fmtid="{D5CDD505-2E9C-101B-9397-08002B2CF9AE}" pid="3" name="_EmailSubject">
    <vt:lpwstr>ESTADOS FINANCIEROS JULIO 04</vt:lpwstr>
  </property>
  <property fmtid="{D5CDD505-2E9C-101B-9397-08002B2CF9AE}" pid="4" name="_AuthorEmail">
    <vt:lpwstr>lvazquez@PROMOTORA.PICH&amp;SDI.com</vt:lpwstr>
  </property>
  <property fmtid="{D5CDD505-2E9C-101B-9397-08002B2CF9AE}" pid="5" name="_AuthorEmailDisplayName">
    <vt:lpwstr>Luis  Vazquez Torrijos</vt:lpwstr>
  </property>
  <property fmtid="{D5CDD505-2E9C-101B-9397-08002B2CF9AE}" pid="6" name="_PreviousAdHocReviewCycleID">
    <vt:i4>-829634521</vt:i4>
  </property>
  <property fmtid="{D5CDD505-2E9C-101B-9397-08002B2CF9AE}" pid="7" name="_ReviewingToolsShownOnce">
    <vt:lpwstr/>
  </property>
</Properties>
</file>